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\OneDrive\Documents\Professional\Driver\Anneberg\"/>
    </mc:Choice>
  </mc:AlternateContent>
  <xr:revisionPtr revIDLastSave="77" documentId="13_ncr:1_{F773F6CA-F940-43CC-B038-B740DE26D21D}" xr6:coauthVersionLast="43" xr6:coauthVersionMax="43" xr10:uidLastSave="{81EC03F3-3349-42FF-999C-E4A27082B76C}"/>
  <bookViews>
    <workbookView xWindow="-108" yWindow="-108" windowWidth="30936" windowHeight="16896" activeTab="2" xr2:uid="{00000000-000D-0000-FFFF-FFFF00000000}"/>
  </bookViews>
  <sheets>
    <sheet name="variables" sheetId="1" r:id="rId1"/>
    <sheet name="distribution" sheetId="3" r:id="rId2"/>
    <sheet name="payslip" sheetId="4" r:id="rId3"/>
    <sheet name="math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3" l="1"/>
  <c r="K11" i="3"/>
  <c r="J12" i="3"/>
  <c r="K12" i="3"/>
  <c r="D28" i="3"/>
  <c r="E28" i="3"/>
  <c r="D29" i="3"/>
  <c r="G23" i="4" s="1"/>
  <c r="E29" i="3"/>
  <c r="D30" i="3"/>
  <c r="E30" i="3"/>
  <c r="D31" i="3"/>
  <c r="E31" i="3"/>
  <c r="G21" i="4" s="1"/>
  <c r="D32" i="3"/>
  <c r="E32" i="3"/>
  <c r="G24" i="4"/>
  <c r="R1" i="4" l="1"/>
  <c r="A1" i="3" l="1"/>
  <c r="G1" i="3"/>
  <c r="A2" i="3"/>
  <c r="G2" i="3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I24" i="4"/>
  <c r="I23" i="4"/>
  <c r="I21" i="4"/>
  <c r="D34" i="3"/>
  <c r="E34" i="3" s="1"/>
  <c r="J34" i="3"/>
  <c r="K34" i="3" s="1"/>
  <c r="K35" i="3"/>
  <c r="K1" i="3"/>
  <c r="E1" i="3"/>
  <c r="D14" i="1"/>
  <c r="J1" i="3"/>
  <c r="D1" i="3"/>
  <c r="C1" i="3"/>
  <c r="I1" i="3"/>
  <c r="Q40" i="4"/>
  <c r="Q44" i="4" s="1"/>
  <c r="Q22" i="4"/>
  <c r="Q25" i="4"/>
  <c r="Q26" i="4"/>
  <c r="Q27" i="4"/>
  <c r="Q28" i="4"/>
  <c r="Q29" i="4"/>
  <c r="H34" i="3" l="1"/>
  <c r="B11" i="2"/>
  <c r="B10" i="2"/>
  <c r="B13" i="2" s="1"/>
  <c r="B34" i="3"/>
  <c r="C2" i="3"/>
  <c r="D2" i="3" s="1"/>
  <c r="E2" i="3" s="1"/>
  <c r="B12" i="2"/>
  <c r="B20" i="2" s="1"/>
  <c r="B14" i="2"/>
  <c r="B3" i="2"/>
  <c r="C3" i="2" s="1"/>
  <c r="B2" i="2"/>
  <c r="C2" i="2" s="1"/>
  <c r="M6" i="4" l="1"/>
  <c r="L6" i="4"/>
  <c r="R6" i="4"/>
  <c r="K6" i="4"/>
  <c r="P6" i="4"/>
  <c r="G19" i="4"/>
  <c r="I19" i="4"/>
  <c r="I20" i="4"/>
  <c r="G3" i="3"/>
  <c r="G4" i="3" s="1"/>
  <c r="G5" i="3" s="1"/>
  <c r="I2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B2" i="3"/>
  <c r="B15" i="2"/>
  <c r="B19" i="2"/>
  <c r="B21" i="2" s="1"/>
  <c r="J2" i="3" l="1"/>
  <c r="H2" i="3"/>
  <c r="I4" i="3"/>
  <c r="I3" i="3"/>
  <c r="G6" i="3"/>
  <c r="I5" i="3"/>
  <c r="C3" i="3"/>
  <c r="D3" i="3" s="1"/>
  <c r="E3" i="3" s="1"/>
  <c r="K2" i="3" l="1"/>
  <c r="H5" i="3"/>
  <c r="J5" i="3"/>
  <c r="K5" i="3" s="1"/>
  <c r="H3" i="3"/>
  <c r="J3" i="3"/>
  <c r="K3" i="3" s="1"/>
  <c r="H4" i="3"/>
  <c r="J4" i="3"/>
  <c r="K4" i="3" s="1"/>
  <c r="G7" i="3"/>
  <c r="I6" i="3"/>
  <c r="B3" i="3"/>
  <c r="C4" i="3"/>
  <c r="D4" i="3" s="1"/>
  <c r="E4" i="3" s="1"/>
  <c r="H6" i="3" l="1"/>
  <c r="J6" i="3"/>
  <c r="K6" i="3" s="1"/>
  <c r="G8" i="3"/>
  <c r="I7" i="3"/>
  <c r="B4" i="3"/>
  <c r="C5" i="3"/>
  <c r="D5" i="3" s="1"/>
  <c r="E5" i="3" s="1"/>
  <c r="J7" i="3" l="1"/>
  <c r="H7" i="3"/>
  <c r="G9" i="3"/>
  <c r="I8" i="3"/>
  <c r="J8" i="3" s="1"/>
  <c r="K8" i="3" s="1"/>
  <c r="B5" i="3"/>
  <c r="C6" i="3"/>
  <c r="D6" i="3" s="1"/>
  <c r="E6" i="3" s="1"/>
  <c r="K7" i="3" l="1"/>
  <c r="H8" i="3"/>
  <c r="G10" i="3"/>
  <c r="I9" i="3"/>
  <c r="B6" i="3"/>
  <c r="C7" i="3"/>
  <c r="D7" i="3" s="1"/>
  <c r="E7" i="3" s="1"/>
  <c r="H9" i="3" l="1"/>
  <c r="J9" i="3"/>
  <c r="G11" i="3"/>
  <c r="I10" i="3"/>
  <c r="B7" i="3"/>
  <c r="C8" i="3"/>
  <c r="D8" i="3" s="1"/>
  <c r="E8" i="3" s="1"/>
  <c r="H10" i="3" l="1"/>
  <c r="J10" i="3"/>
  <c r="K10" i="3" s="1"/>
  <c r="K9" i="3"/>
  <c r="G12" i="3"/>
  <c r="I11" i="3"/>
  <c r="B8" i="3"/>
  <c r="C9" i="3"/>
  <c r="D9" i="3" s="1"/>
  <c r="E9" i="3" s="1"/>
  <c r="H11" i="3" l="1"/>
  <c r="G13" i="3"/>
  <c r="I12" i="3"/>
  <c r="B9" i="3"/>
  <c r="C10" i="3"/>
  <c r="D10" i="3" s="1"/>
  <c r="E10" i="3" s="1"/>
  <c r="H12" i="3" l="1"/>
  <c r="G14" i="3"/>
  <c r="I13" i="3"/>
  <c r="B10" i="3"/>
  <c r="C11" i="3"/>
  <c r="D11" i="3" s="1"/>
  <c r="E11" i="3" s="1"/>
  <c r="H13" i="3" l="1"/>
  <c r="J13" i="3"/>
  <c r="K13" i="3" s="1"/>
  <c r="G15" i="3"/>
  <c r="I14" i="3"/>
  <c r="B11" i="3"/>
  <c r="C12" i="3"/>
  <c r="D12" i="3" s="1"/>
  <c r="E12" i="3" s="1"/>
  <c r="H14" i="3" l="1"/>
  <c r="J14" i="3"/>
  <c r="K14" i="3" s="1"/>
  <c r="G16" i="3"/>
  <c r="I15" i="3"/>
  <c r="B12" i="3"/>
  <c r="C13" i="3"/>
  <c r="D13" i="3" s="1"/>
  <c r="E13" i="3" s="1"/>
  <c r="J15" i="3" l="1"/>
  <c r="H15" i="3"/>
  <c r="G17" i="3"/>
  <c r="I16" i="3"/>
  <c r="B13" i="3"/>
  <c r="C14" i="3"/>
  <c r="D14" i="3" s="1"/>
  <c r="E14" i="3" s="1"/>
  <c r="K15" i="3" l="1"/>
  <c r="H16" i="3"/>
  <c r="J16" i="3"/>
  <c r="K16" i="3" s="1"/>
  <c r="G18" i="3"/>
  <c r="I17" i="3"/>
  <c r="B14" i="3"/>
  <c r="C15" i="3"/>
  <c r="D15" i="3" s="1"/>
  <c r="E15" i="3" s="1"/>
  <c r="H17" i="3" l="1"/>
  <c r="J17" i="3"/>
  <c r="K17" i="3" s="1"/>
  <c r="G19" i="3"/>
  <c r="I18" i="3"/>
  <c r="B15" i="3"/>
  <c r="C16" i="3"/>
  <c r="D16" i="3" s="1"/>
  <c r="E16" i="3" l="1"/>
  <c r="H18" i="3"/>
  <c r="J18" i="3"/>
  <c r="K18" i="3" s="1"/>
  <c r="G20" i="3"/>
  <c r="I19" i="3"/>
  <c r="B16" i="3"/>
  <c r="C17" i="3"/>
  <c r="D17" i="3" s="1"/>
  <c r="E17" i="3" s="1"/>
  <c r="H19" i="3" l="1"/>
  <c r="J19" i="3"/>
  <c r="K19" i="3" s="1"/>
  <c r="G21" i="3"/>
  <c r="I20" i="3"/>
  <c r="B17" i="3"/>
  <c r="C18" i="3"/>
  <c r="D18" i="3" s="1"/>
  <c r="E18" i="3" s="1"/>
  <c r="H20" i="3" l="1"/>
  <c r="J20" i="3"/>
  <c r="K20" i="3" s="1"/>
  <c r="G22" i="3"/>
  <c r="I21" i="3"/>
  <c r="B18" i="3"/>
  <c r="C19" i="3"/>
  <c r="D19" i="3" s="1"/>
  <c r="E19" i="3" s="1"/>
  <c r="H21" i="3" l="1"/>
  <c r="J21" i="3"/>
  <c r="K21" i="3" s="1"/>
  <c r="G23" i="3"/>
  <c r="I22" i="3"/>
  <c r="B19" i="3"/>
  <c r="C20" i="3"/>
  <c r="D20" i="3" s="1"/>
  <c r="E20" i="3" s="1"/>
  <c r="H22" i="3" l="1"/>
  <c r="J22" i="3"/>
  <c r="K22" i="3" s="1"/>
  <c r="G24" i="3"/>
  <c r="I23" i="3"/>
  <c r="B20" i="3"/>
  <c r="C21" i="3"/>
  <c r="D21" i="3" s="1"/>
  <c r="E21" i="3" s="1"/>
  <c r="H23" i="3" l="1"/>
  <c r="J23" i="3"/>
  <c r="K23" i="3" s="1"/>
  <c r="G25" i="3"/>
  <c r="I24" i="3"/>
  <c r="B21" i="3"/>
  <c r="C22" i="3"/>
  <c r="D22" i="3" s="1"/>
  <c r="E22" i="3" s="1"/>
  <c r="H24" i="3" l="1"/>
  <c r="J24" i="3"/>
  <c r="K24" i="3" s="1"/>
  <c r="G26" i="3"/>
  <c r="I25" i="3"/>
  <c r="B22" i="3"/>
  <c r="C23" i="3"/>
  <c r="D23" i="3" s="1"/>
  <c r="E23" i="3" s="1"/>
  <c r="H25" i="3" l="1"/>
  <c r="J25" i="3"/>
  <c r="K25" i="3" s="1"/>
  <c r="G27" i="3"/>
  <c r="I26" i="3"/>
  <c r="B23" i="3"/>
  <c r="C24" i="3"/>
  <c r="D24" i="3" s="1"/>
  <c r="E24" i="3" s="1"/>
  <c r="H26" i="3" l="1"/>
  <c r="J26" i="3"/>
  <c r="K26" i="3" s="1"/>
  <c r="G28" i="3"/>
  <c r="I27" i="3"/>
  <c r="B24" i="3"/>
  <c r="C25" i="3"/>
  <c r="D25" i="3" s="1"/>
  <c r="E25" i="3" s="1"/>
  <c r="H27" i="3" l="1"/>
  <c r="J27" i="3"/>
  <c r="K27" i="3" s="1"/>
  <c r="G29" i="3"/>
  <c r="I28" i="3"/>
  <c r="B25" i="3"/>
  <c r="C26" i="3"/>
  <c r="D26" i="3" s="1"/>
  <c r="E26" i="3" s="1"/>
  <c r="H28" i="3" l="1"/>
  <c r="J28" i="3"/>
  <c r="K28" i="3" s="1"/>
  <c r="G30" i="3"/>
  <c r="I29" i="3"/>
  <c r="B26" i="3"/>
  <c r="C27" i="3"/>
  <c r="D27" i="3" s="1"/>
  <c r="E27" i="3" s="1"/>
  <c r="H29" i="3" l="1"/>
  <c r="J29" i="3"/>
  <c r="K29" i="3" s="1"/>
  <c r="G31" i="3"/>
  <c r="G32" i="3" s="1"/>
  <c r="G33" i="3" s="1"/>
  <c r="G34" i="3" s="1"/>
  <c r="G35" i="3" s="1"/>
  <c r="I30" i="3"/>
  <c r="B27" i="3"/>
  <c r="C28" i="3"/>
  <c r="H30" i="3" l="1"/>
  <c r="J30" i="3"/>
  <c r="K30" i="3" s="1"/>
  <c r="I31" i="3"/>
  <c r="B28" i="3"/>
  <c r="C29" i="3"/>
  <c r="H31" i="3" l="1"/>
  <c r="J31" i="3"/>
  <c r="K31" i="3" s="1"/>
  <c r="I32" i="3"/>
  <c r="B29" i="3"/>
  <c r="C30" i="3"/>
  <c r="H32" i="3" l="1"/>
  <c r="J32" i="3"/>
  <c r="K32" i="3" s="1"/>
  <c r="I33" i="3"/>
  <c r="B30" i="3"/>
  <c r="C31" i="3"/>
  <c r="H33" i="3" l="1"/>
  <c r="J33" i="3"/>
  <c r="K33" i="3" s="1"/>
  <c r="Q24" i="4"/>
  <c r="Q19" i="4"/>
  <c r="G20" i="4"/>
  <c r="Q20" i="4" s="1"/>
  <c r="B31" i="3"/>
  <c r="C32" i="3"/>
  <c r="B32" i="3" l="1"/>
  <c r="C33" i="3"/>
  <c r="D33" i="3" l="1"/>
  <c r="B33" i="3"/>
  <c r="E33" i="3" l="1"/>
  <c r="Q23" i="4"/>
  <c r="Q21" i="4" l="1"/>
  <c r="Q30" i="4" s="1"/>
  <c r="C33" i="4" l="1"/>
  <c r="C36" i="4" l="1"/>
  <c r="D36" i="4"/>
  <c r="D33" i="4"/>
  <c r="H33" i="4" s="1"/>
  <c r="Q33" i="4" s="1"/>
  <c r="K36" i="4" l="1"/>
  <c r="H36" i="4"/>
  <c r="F36" i="4"/>
  <c r="M36" i="4"/>
  <c r="Q36" i="4" l="1"/>
  <c r="Q38" i="4" s="1"/>
  <c r="Q4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Silviu E. Sandulache</author>
  </authors>
  <commentList>
    <comment ref="B1" authorId="0" shapeId="0" xr:uid="{62C0A3F4-367D-4E02-9235-11148F3CD2A7}">
      <text>
        <r>
          <rPr>
            <b/>
            <sz val="9"/>
            <color indexed="81"/>
            <rFont val="Tahoma"/>
            <charset val="1"/>
          </rPr>
          <t>Silviu E. Sandulache:</t>
        </r>
        <r>
          <rPr>
            <sz val="9"/>
            <color indexed="81"/>
            <rFont val="Tahoma"/>
            <charset val="1"/>
          </rPr>
          <t xml:space="preserve">
Wage and salary expression (payslip)
Fluturaș de salariu</t>
        </r>
      </text>
    </comment>
    <comment ref="B2" authorId="0" shapeId="0" xr:uid="{79DD8254-CC38-4B6A-8E10-E480055E716B}">
      <text>
        <r>
          <rPr>
            <b/>
            <sz val="9"/>
            <color indexed="81"/>
            <rFont val="Tahoma"/>
            <charset val="1"/>
          </rPr>
          <t xml:space="preserve">Silviu E. Sandulache
</t>
        </r>
        <r>
          <rPr>
            <sz val="9"/>
            <color indexed="81"/>
            <rFont val="Tahoma"/>
            <family val="2"/>
          </rPr>
          <t>The employee number in Anneberg System (payroll, transics etc.)
Numărul de angajat in sistemul Anneberg (salarii, transics etc.)</t>
        </r>
      </text>
    </comment>
    <comment ref="D2" authorId="0" shapeId="0" xr:uid="{2E58A331-C5E7-4C3D-B220-021CE0AC9B91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Steuerklasse = Tax Class 
Clasa de taxare actuală</t>
        </r>
      </text>
    </comment>
    <comment ref="F2" authorId="0" shapeId="0" xr:uid="{DAC84640-1ED1-4541-8C83-3B2F7904A2FC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First day of the current employment contract
Prima zi de lucru a contractului de munca curent</t>
        </r>
      </text>
    </comment>
    <comment ref="B3" authorId="0" shapeId="0" xr:uid="{78B672CD-D029-4FFF-931C-2DD6517AFCB2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The insurance number provided by the insurance company
Numărul de asigurat generat de compania de asigurări</t>
        </r>
      </text>
    </comment>
    <comment ref="D3" authorId="0" shapeId="0" xr:uid="{2BF17394-A6E3-4612-A96E-7FB1051B149C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number of dependent Children 
număr de copii în întreținere</t>
        </r>
      </text>
    </comment>
    <comment ref="F3" authorId="0" shapeId="0" xr:uid="{0E86472E-326A-4A50-A33B-D423FC46CCED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First day of employment with the company
Prima zi de muncă cu această companie</t>
        </r>
      </text>
    </comment>
    <comment ref="H3" authorId="0" shapeId="0" xr:uid="{5387908F-8511-490D-8AEE-157663809212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" authorId="0" shapeId="0" xr:uid="{86CCBBF0-9A74-4C89-A3AF-67DEE98A3EB9}">
      <text>
        <r>
          <rPr>
            <b/>
            <sz val="9"/>
            <color indexed="81"/>
            <rFont val="Tahoma"/>
            <charset val="1"/>
          </rPr>
          <t>Silviu E. Sandulache:</t>
        </r>
        <r>
          <rPr>
            <sz val="9"/>
            <color indexed="81"/>
            <rFont val="Tahoma"/>
            <charset val="1"/>
          </rPr>
          <t xml:space="preserve">
Mehrfachbeschäftigung = Multiple Employment 
Angajat la mai mult locuri de muncă</t>
        </r>
      </text>
    </comment>
    <comment ref="B4" authorId="0" shapeId="0" xr:uid="{3E243B92-5B95-4889-B955-153DA838A2BC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Famuily status as recognized by german taxation system
Situația familială așa cum este recunoscută în sistemul de impozitare</t>
        </r>
      </text>
    </comment>
    <comment ref="F4" authorId="0" shapeId="0" xr:uid="{DE41D2AA-C297-4708-900C-777A043E9BF9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Last day of work with the company
Ultima zi de muncă în această companie</t>
        </r>
      </text>
    </comment>
    <comment ref="H4" authorId="0" shapeId="0" xr:uid="{FCDE7395-4D82-4C79-ABEC-FB2B5A450856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Occupation
Ocupația</t>
        </r>
      </text>
    </comment>
    <comment ref="I4" authorId="0" shapeId="0" xr:uid="{7EE11D89-9141-4D75-8A40-4568BF1BFB4E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Professional driver
Șofer profesionist</t>
        </r>
      </text>
    </comment>
    <comment ref="B5" authorId="0" shapeId="0" xr:uid="{E755595E-7315-4181-A940-02E8C732F396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Company where you have the health insurance
Numele companiei unde ai poiliță de asigurare</t>
        </r>
      </text>
    </comment>
    <comment ref="F5" authorId="0" shapeId="0" xr:uid="{29139C7C-6773-419A-BBA3-40BD4258D181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The employee birth day
Ziua de naștere a angajatului</t>
        </r>
      </text>
    </comment>
    <comment ref="J8" authorId="0" shapeId="0" xr:uid="{D9B13241-46BB-46A6-864C-D5DA9BD3C2DF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leave entitlement
concediu de odihnă plătit</t>
        </r>
      </text>
    </comment>
    <comment ref="J9" authorId="0" shapeId="0" xr:uid="{4686A2EE-CF14-45BC-8536-7705EDFBAF89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Rest holiday last year
zilde de concediu de odihna pe anul trecut</t>
        </r>
      </text>
    </comment>
    <comment ref="J10" authorId="0" shapeId="0" xr:uid="{D2906481-9B26-4663-8423-F8192C78C605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special leave
concediu expcepțional</t>
        </r>
      </text>
    </comment>
    <comment ref="J11" authorId="0" shapeId="0" xr:uid="{8E214628-4F1B-4440-BAC6-2E43CB0501C3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disability leave
vacanță extra pentru persoanele cu disabilități</t>
        </r>
      </text>
    </comment>
    <comment ref="J14" authorId="0" shapeId="0" xr:uid="{89C00DF7-48DE-4702-A38B-35FDFDCECA2B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remaining holidays
zile de comcediu de odihnă rămase</t>
        </r>
      </text>
    </comment>
    <comment ref="J16" authorId="0" shapeId="0" xr:uid="{48303B97-CD6E-41EB-99F8-98750FE3F2F0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paid holiday
concediu de odihnă plătit</t>
        </r>
      </text>
    </comment>
    <comment ref="J17" authorId="0" shapeId="0" xr:uid="{B0B42065-69A8-46B4-BB26-60A73CF61A56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unpaid holiday
concediu de odihnă fără plătă</t>
        </r>
      </text>
    </comment>
    <comment ref="C19" authorId="0" shapeId="0" xr:uid="{67C5D1EC-972D-448C-9870-CA96FBA8AFA8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workdays not being paid
zile de muncă neplătite</t>
        </r>
      </text>
    </comment>
    <comment ref="C20" authorId="0" shapeId="0" xr:uid="{83C13A0C-3CDF-47D1-9E9E-D47D3F3E2C21}">
      <text>
        <r>
          <rPr>
            <b/>
            <sz val="9"/>
            <color indexed="81"/>
            <rFont val="Tahoma"/>
            <family val="2"/>
          </rPr>
          <t xml:space="preserve">Silviu E. Sandulache:
</t>
        </r>
        <r>
          <rPr>
            <sz val="9"/>
            <color indexed="81"/>
            <rFont val="Tahoma"/>
            <family val="2"/>
          </rPr>
          <t>paid workdays
zile de muncă plătite</t>
        </r>
      </text>
    </comment>
    <comment ref="C21" authorId="0" shapeId="0" xr:uid="{C9819187-A978-48EA-9518-506F23CC7FA4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Expenses (taxed)
Cheltuieli / dirună (impozitate)</t>
        </r>
      </text>
    </comment>
    <comment ref="C22" authorId="0" shapeId="0" xr:uid="{47904838-5510-4203-B3F6-697182AAD143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Krankheitsbedinger Arbeitsausfall Premium (bonus for continous work / no medical leave)
Bonus pentru fiecare lună muncită integral (fara concediu medical)
</t>
        </r>
      </text>
    </comment>
    <comment ref="C23" authorId="0" shapeId="0" xr:uid="{41B4B273-7A2B-4B5B-885D-7F44651058DE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Expenses (flat rate taxed) - covered by Anneberg
Cheltuieli / diurnă (impozitabilă procent fix) - plătită de Anneberg</t>
        </r>
      </text>
    </comment>
    <comment ref="C24" authorId="0" shapeId="0" xr:uid="{820AFD6C-56CF-4D84-9926-2871DA9045EA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Expense (tax-free)
Cheltuieli / diurnă (neimpozitabil)</t>
        </r>
      </text>
    </comment>
    <comment ref="C32" authorId="0" shapeId="0" xr:uid="{ACBE4160-5E1F-4E93-8747-C441CA6FBB0D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gross tax
venit brut impozabil</t>
        </r>
      </text>
    </comment>
    <comment ref="D32" authorId="0" shapeId="0" xr:uid="{B6650FD5-91AA-4033-BB41-39ECD5E8F2D9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income tax
impozit pe venit</t>
        </r>
      </text>
    </comment>
    <comment ref="F32" authorId="0" shapeId="0" xr:uid="{91C2965C-C720-4ADA-A3CF-101C82525226}">
      <text>
        <r>
          <rPr>
            <b/>
            <sz val="9"/>
            <color indexed="81"/>
            <rFont val="Tahoma"/>
            <charset val="1"/>
          </rPr>
          <t>Silviu E. Sandulache:</t>
        </r>
        <r>
          <rPr>
            <sz val="9"/>
            <color indexed="81"/>
            <rFont val="Tahoma"/>
            <charset val="1"/>
          </rPr>
          <t xml:space="preserve">
church tax (voluntary)
taxă pentru biserică (opțională)</t>
        </r>
      </text>
    </comment>
    <comment ref="H32" authorId="0" shapeId="0" xr:uid="{58A613D5-9FDE-4C25-B1D8-3DC917E1296A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East Germany Solidarity Tax
Taxă de solidaritate (dezvoltarea Germaniei de Est)</t>
        </r>
      </text>
    </comment>
    <comment ref="C35" authorId="0" shapeId="0" xr:uid="{64CDC1E4-A089-455B-BEF6-7765E286F87D}">
      <text>
        <r>
          <rPr>
            <b/>
            <sz val="9"/>
            <color indexed="81"/>
            <rFont val="Tahoma"/>
            <charset val="1"/>
          </rPr>
          <t>Silviu E. Sandulache:</t>
        </r>
        <r>
          <rPr>
            <sz val="9"/>
            <color indexed="81"/>
            <rFont val="Tahoma"/>
            <charset val="1"/>
          </rPr>
          <t xml:space="preserve">
Krankenversicherung/Pflegeversicherung-Brutto (health &amp; long term care gross)
baza de calcul pentru contributiile la sanatate</t>
        </r>
      </text>
    </comment>
    <comment ref="D35" authorId="0" shapeId="0" xr:uid="{C5A4F43F-6BC8-469D-ACE2-089CCFC07302}">
      <text>
        <r>
          <rPr>
            <b/>
            <sz val="9"/>
            <color indexed="81"/>
            <rFont val="Tahoma"/>
            <charset val="1"/>
          </rPr>
          <t>Silviu E. Sandulache:</t>
        </r>
        <r>
          <rPr>
            <sz val="9"/>
            <color indexed="81"/>
            <rFont val="Tahoma"/>
            <charset val="1"/>
          </rPr>
          <t xml:space="preserve">
Rentenversicherung / Arbeitslosenversicherung-Brutto (pension &amp; unemployment brut)
baza de calcul pentru contributiile la pensie și șomaj</t>
        </r>
      </text>
    </comment>
    <comment ref="F35" authorId="0" shapeId="0" xr:uid="{4E8A08EF-569A-41A5-A3E9-60994F9D0B2C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health contribution
sănătate</t>
        </r>
      </text>
    </comment>
    <comment ref="H35" authorId="0" shapeId="0" xr:uid="{4C591DEA-7A12-425F-A640-6CFF3D9F8F6F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retirement contribution
pensie</t>
        </r>
      </text>
    </comment>
    <comment ref="K35" authorId="0" shapeId="0" xr:uid="{BBDD43E0-6CDE-4446-BD22-396D3A2C503E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unemployment contribution
șomaj</t>
        </r>
      </text>
    </comment>
    <comment ref="B50" authorId="0" shapeId="0" xr:uid="{54A469D9-3FE8-452E-BC36-1D5E2D9D98BD}">
      <text>
        <r>
          <rPr>
            <b/>
            <sz val="9"/>
            <color indexed="81"/>
            <rFont val="Tahoma"/>
            <family val="2"/>
          </rPr>
          <t>Silviu E. Sandulache:</t>
        </r>
        <r>
          <rPr>
            <sz val="9"/>
            <color indexed="81"/>
            <rFont val="Tahoma"/>
            <family val="2"/>
          </rPr>
          <t xml:space="preserve">
annual statement of account
situația anuală a contului</t>
        </r>
      </text>
    </comment>
  </commentList>
</comments>
</file>

<file path=xl/sharedStrings.xml><?xml version="1.0" encoding="utf-8"?>
<sst xmlns="http://schemas.openxmlformats.org/spreadsheetml/2006/main" count="177" uniqueCount="138">
  <si>
    <t>working days in the second month</t>
  </si>
  <si>
    <t>working days in the first month</t>
  </si>
  <si>
    <t>salary daily amount</t>
  </si>
  <si>
    <t>paid days first month</t>
  </si>
  <si>
    <t>paid days second month</t>
  </si>
  <si>
    <t>number of working days in the 1st month</t>
  </si>
  <si>
    <t>number of days worked in the 2nd month</t>
  </si>
  <si>
    <t>total days worked in the period</t>
  </si>
  <si>
    <t>perdiem weekdays 1st month</t>
  </si>
  <si>
    <t>perdiem weekdays 2st month</t>
  </si>
  <si>
    <t>first day of the 2nd month</t>
  </si>
  <si>
    <t>total weekdays in the period</t>
  </si>
  <si>
    <t>Salary</t>
  </si>
  <si>
    <t>end of the 2nd month</t>
  </si>
  <si>
    <t>end of the 1st month</t>
  </si>
  <si>
    <t>KK-%</t>
  </si>
  <si>
    <t>Social Insurance</t>
  </si>
  <si>
    <t>Tax-%</t>
  </si>
  <si>
    <t>Tax</t>
  </si>
  <si>
    <t>xxx</t>
  </si>
  <si>
    <t>##[birthdate]M###</t>
  </si>
  <si>
    <t>male, single</t>
  </si>
  <si>
    <t>AOK NordWest</t>
  </si>
  <si>
    <t>Pers.-Nr.</t>
  </si>
  <si>
    <t>SV-Nr.</t>
  </si>
  <si>
    <t>Familie</t>
  </si>
  <si>
    <t>Krk.</t>
  </si>
  <si>
    <t>St. Kl.</t>
  </si>
  <si>
    <t>Kinder</t>
  </si>
  <si>
    <t>PV-K</t>
  </si>
  <si>
    <t>JA</t>
  </si>
  <si>
    <t>Geb.Dat.</t>
  </si>
  <si>
    <t>Austritt</t>
  </si>
  <si>
    <t>Ersteintritt</t>
  </si>
  <si>
    <t>Eintritt</t>
  </si>
  <si>
    <t>dd.mm.yyyy</t>
  </si>
  <si>
    <t>Tatigkeit</t>
  </si>
  <si>
    <t>Ident. Nr.</t>
  </si>
  <si>
    <t>Steuerfrei</t>
  </si>
  <si>
    <t>nom.</t>
  </si>
  <si>
    <t>jhr.</t>
  </si>
  <si>
    <t>Soll wo.</t>
  </si>
  <si>
    <t>##### ####</t>
  </si>
  <si>
    <t>Konf.</t>
  </si>
  <si>
    <t>MFB</t>
  </si>
  <si>
    <t>GV</t>
  </si>
  <si>
    <t>GZ</t>
  </si>
  <si>
    <t>/</t>
  </si>
  <si>
    <t>Nein</t>
  </si>
  <si>
    <t>Tarif</t>
  </si>
  <si>
    <t>Kost.</t>
  </si>
  <si>
    <t>PGR</t>
  </si>
  <si>
    <t>Abt.</t>
  </si>
  <si>
    <t>Tage/Gruppe</t>
  </si>
  <si>
    <t xml:space="preserve"> </t>
  </si>
  <si>
    <t>Urlaubsanspruch</t>
  </si>
  <si>
    <t>Schwerbehinderten Urlaub</t>
  </si>
  <si>
    <t>bis Vormonat</t>
  </si>
  <si>
    <t>gen. akt. Monat</t>
  </si>
  <si>
    <t>Resturlaub</t>
  </si>
  <si>
    <t>Herr</t>
  </si>
  <si>
    <t>First Name + Family Name</t>
  </si>
  <si>
    <t>Address</t>
  </si>
  <si>
    <t>City, County, Country</t>
  </si>
  <si>
    <t>Lohnart</t>
  </si>
  <si>
    <t>Bezeichnung</t>
  </si>
  <si>
    <t>Einheit</t>
  </si>
  <si>
    <t>Satz</t>
  </si>
  <si>
    <t>Factor</t>
  </si>
  <si>
    <t>Zuschlag</t>
  </si>
  <si>
    <t>St</t>
  </si>
  <si>
    <t>Art</t>
  </si>
  <si>
    <t>SV</t>
  </si>
  <si>
    <t>Betrag</t>
  </si>
  <si>
    <t>Festlohn</t>
  </si>
  <si>
    <t>Spesen (pauschal versteuert)</t>
  </si>
  <si>
    <t>Spesen (steuerfrei)</t>
  </si>
  <si>
    <t>Steuerbrutto</t>
  </si>
  <si>
    <t>KV-/PV-Brutto</t>
  </si>
  <si>
    <t>RV-/AV-Brutto</t>
  </si>
  <si>
    <t>Lohnsteuer</t>
  </si>
  <si>
    <t>Kirchensteuer</t>
  </si>
  <si>
    <t>KV-Beitrag</t>
  </si>
  <si>
    <t>RV-Beitrag</t>
  </si>
  <si>
    <t>AV-Beitrag</t>
  </si>
  <si>
    <t>PV-Beitrag</t>
  </si>
  <si>
    <t>SV-rechtl. Abzüge</t>
  </si>
  <si>
    <t>Steuerrechtl. Abzüge</t>
  </si>
  <si>
    <t>Netto-Bezuge/-Abzuge</t>
  </si>
  <si>
    <t>Lohn- und Gehaltsausdruck</t>
  </si>
  <si>
    <t>Anneberg Transport GmbH, Robert-Bosch Straße 3, 25770 Hemmingstedt</t>
  </si>
  <si>
    <t>Nettoverdienst</t>
  </si>
  <si>
    <t>Inhaber:</t>
  </si>
  <si>
    <t>Bank:</t>
  </si>
  <si>
    <t>IBAN</t>
  </si>
  <si>
    <t>BLZ:</t>
  </si>
  <si>
    <t>Kto-Nr:</t>
  </si>
  <si>
    <t>BIC:</t>
  </si>
  <si>
    <t>Summe Netto-Bezuge/-Abzuge</t>
  </si>
  <si>
    <t>Jahresabrechnung</t>
  </si>
  <si>
    <t>Gesamtbrutto</t>
  </si>
  <si>
    <t>VWL</t>
  </si>
  <si>
    <t>KUG / WAG</t>
  </si>
  <si>
    <t>Kammerbeitrag</t>
  </si>
  <si>
    <t>Nettobezuge</t>
  </si>
  <si>
    <t>Solidaritätszuschlag</t>
  </si>
  <si>
    <t>Nettoabzüge</t>
  </si>
  <si>
    <t>DV/Vorsorge</t>
  </si>
  <si>
    <t>Auszahlung</t>
  </si>
  <si>
    <t>your bank name</t>
  </si>
  <si>
    <t>your IBAN number</t>
  </si>
  <si>
    <t>XXXXX#XXXX</t>
  </si>
  <si>
    <t>Korrekturauszahlung</t>
  </si>
  <si>
    <t>EZ</t>
  </si>
  <si>
    <t>von</t>
  </si>
  <si>
    <t>bis</t>
  </si>
  <si>
    <t>Fehlzeiten/Urlaub</t>
  </si>
  <si>
    <t>unbezahlter Urlaub</t>
  </si>
  <si>
    <t>L</t>
  </si>
  <si>
    <t>Berufskraftfahrer/in</t>
  </si>
  <si>
    <t>Resturlaub Vorjahr</t>
  </si>
  <si>
    <t>Sonderurlaub</t>
  </si>
  <si>
    <t>Urlaub</t>
  </si>
  <si>
    <t>Spesen (versteuert)</t>
  </si>
  <si>
    <t>KA-Prämie</t>
  </si>
  <si>
    <t>(not calculated in this demonstration due to lack of historic data)</t>
  </si>
  <si>
    <t>Gross Income treshold</t>
  </si>
  <si>
    <t>kttp://drivers.annenerg.net/german-payslip-explained/</t>
  </si>
  <si>
    <t>full explanations on / detalii complete pe:</t>
  </si>
  <si>
    <t>Prima zi de munca a lunii anterioare</t>
  </si>
  <si>
    <t xml:space="preserve">Ultima zi de munca a lunii de calcul </t>
  </si>
  <si>
    <t>Salariul lunar brut</t>
  </si>
  <si>
    <t>Valoarea diurnă - zilnică</t>
  </si>
  <si>
    <t>Valoarea diurnă - sfârșit de săptămână</t>
  </si>
  <si>
    <t xml:space="preserve">the extra payment for national holydays are not calculated in this estimation </t>
  </si>
  <si>
    <r>
      <t xml:space="preserve">Brut </t>
    </r>
    <r>
      <rPr>
        <sz val="13"/>
        <color rgb="FF000000"/>
        <rFont val="Arial"/>
        <family val="2"/>
      </rPr>
      <t>= venit salarial cu toate impozite, contribuțiile si taxe incluse     &lt; --- singurul despre care se discuta in Germania/Danemarca</t>
    </r>
  </si>
  <si>
    <r>
      <t>Net</t>
    </r>
    <r>
      <rPr>
        <sz val="13"/>
        <color rgb="FF000000"/>
        <rFont val="Arial"/>
        <family val="2"/>
      </rPr>
      <t> =  salariul plătibil angajatului după ce toate taxele și contribuțiile au fost deduse (bani în mână)      &lt;---   singurul despre care se discută în Romania</t>
    </r>
  </si>
  <si>
    <t>platile suplimentare pentru zilele de sarbatoare natională nu sunt luate in calcul in aceasta estimare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</si>
</sst>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F800]dddd\,\ mmmm\ dd\,\ yyyy"/>
    <numFmt numFmtId="165" formatCode="_-[$€-2]\ * #,##0.00_-;\-[$€-2]\ * #,##0.00_-;_-[$€-2]\ * &quot;-&quot;??_-;_-@_-"/>
    <numFmt numFmtId="166" formatCode="_-* #,##0.00\ _k_r_._-;\-* #,##0.00\ _k_r_._-;_-* &quot;-&quot;??\ _k_r_._-;_-@_-"/>
    <numFmt numFmtId="167" formatCode="0.0"/>
    <numFmt numFmtId="168" formatCode="0.0%"/>
    <numFmt numFmtId="169" formatCode="#,##0.00\ [$€-1]"/>
    <numFmt numFmtId="170" formatCode="#,##0\ [$€-1];[Red]#,##0\ [$€-1]"/>
    <numFmt numFmtId="171" formatCode="#,##0.00\ [$€-1];[Red]#,##0.00\ [$€-1]"/>
    <numFmt numFmtId="172" formatCode="dd\.mm\.yy;@"/>
    <numFmt numFmtId="173" formatCode="#,##0.00\ [$€-1];\-#,##0.00\ [$€-1]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b/>
      <sz val="11"/>
      <color theme="9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7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38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164" fontId="0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Protection="1"/>
    <xf numFmtId="2" fontId="0" fillId="0" borderId="0" xfId="0" applyNumberFormat="1" applyProtection="1"/>
    <xf numFmtId="164" fontId="0" fillId="0" borderId="0" xfId="0" applyNumberFormat="1" applyProtection="1"/>
    <xf numFmtId="1" fontId="0" fillId="0" borderId="0" xfId="0" applyNumberFormat="1" applyProtection="1"/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0" fontId="4" fillId="0" borderId="0" xfId="0" applyFont="1" applyAlignment="1">
      <alignment wrapText="1"/>
    </xf>
    <xf numFmtId="10" fontId="1" fillId="0" borderId="0" xfId="1" applyNumberFormat="1" applyFont="1"/>
    <xf numFmtId="2" fontId="0" fillId="0" borderId="0" xfId="2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0" fillId="0" borderId="1" xfId="0" applyBorder="1"/>
    <xf numFmtId="0" fontId="10" fillId="0" borderId="0" xfId="0" applyFont="1"/>
    <xf numFmtId="0" fontId="0" fillId="0" borderId="0" xfId="0" applyAlignment="1"/>
    <xf numFmtId="0" fontId="11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 applyAlignment="1"/>
    <xf numFmtId="0" fontId="0" fillId="0" borderId="11" xfId="0" applyBorder="1" applyAlignment="1"/>
    <xf numFmtId="0" fontId="1" fillId="0" borderId="10" xfId="0" applyFont="1" applyBorder="1" applyAlignment="1"/>
    <xf numFmtId="0" fontId="0" fillId="0" borderId="5" xfId="0" applyBorder="1" applyAlignment="1"/>
    <xf numFmtId="0" fontId="0" fillId="0" borderId="0" xfId="0" applyBorder="1"/>
    <xf numFmtId="0" fontId="0" fillId="0" borderId="10" xfId="0" applyBorder="1"/>
    <xf numFmtId="0" fontId="12" fillId="0" borderId="3" xfId="0" applyFont="1" applyBorder="1" applyAlignment="1">
      <alignment horizontal="left"/>
    </xf>
    <xf numFmtId="171" fontId="0" fillId="0" borderId="1" xfId="0" applyNumberFormat="1" applyBorder="1"/>
    <xf numFmtId="0" fontId="12" fillId="0" borderId="1" xfId="0" applyFont="1" applyBorder="1" applyAlignment="1">
      <alignment horizontal="left"/>
    </xf>
    <xf numFmtId="171" fontId="0" fillId="0" borderId="5" xfId="0" applyNumberFormat="1" applyBorder="1"/>
    <xf numFmtId="0" fontId="1" fillId="0" borderId="1" xfId="0" applyFont="1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left"/>
    </xf>
    <xf numFmtId="0" fontId="0" fillId="0" borderId="11" xfId="0" applyBorder="1"/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center"/>
    </xf>
    <xf numFmtId="0" fontId="10" fillId="0" borderId="2" xfId="0" applyFont="1" applyBorder="1"/>
    <xf numFmtId="2" fontId="10" fillId="0" borderId="2" xfId="0" applyNumberFormat="1" applyFont="1" applyBorder="1"/>
    <xf numFmtId="167" fontId="0" fillId="0" borderId="2" xfId="0" applyNumberFormat="1" applyBorder="1"/>
    <xf numFmtId="168" fontId="10" fillId="0" borderId="2" xfId="1" applyNumberFormat="1" applyFont="1" applyBorder="1"/>
    <xf numFmtId="0" fontId="0" fillId="0" borderId="2" xfId="0" applyBorder="1" applyAlignment="1"/>
    <xf numFmtId="0" fontId="14" fillId="0" borderId="0" xfId="0" applyFont="1"/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6" fillId="0" borderId="0" xfId="3" applyAlignment="1">
      <alignment horizontal="left"/>
    </xf>
    <xf numFmtId="0" fontId="13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171" fontId="0" fillId="0" borderId="5" xfId="0" applyNumberFormat="1" applyBorder="1" applyAlignment="1">
      <alignment horizontal="right"/>
    </xf>
    <xf numFmtId="171" fontId="0" fillId="0" borderId="6" xfId="0" applyNumberFormat="1" applyBorder="1" applyAlignment="1">
      <alignment horizontal="right"/>
    </xf>
    <xf numFmtId="171" fontId="0" fillId="0" borderId="8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170" fontId="1" fillId="0" borderId="5" xfId="0" applyNumberFormat="1" applyFont="1" applyBorder="1" applyAlignment="1">
      <alignment horizontal="right"/>
    </xf>
    <xf numFmtId="170" fontId="1" fillId="0" borderId="6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171" fontId="0" fillId="0" borderId="0" xfId="0" applyNumberFormat="1" applyBorder="1" applyAlignment="1">
      <alignment horizontal="right"/>
    </xf>
    <xf numFmtId="171" fontId="0" fillId="0" borderId="1" xfId="0" applyNumberFormat="1" applyBorder="1" applyAlignment="1">
      <alignment horizontal="right"/>
    </xf>
    <xf numFmtId="171" fontId="0" fillId="0" borderId="12" xfId="0" applyNumberForma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0" fillId="0" borderId="3" xfId="0" applyBorder="1" applyAlignment="1">
      <alignment horizontal="center"/>
    </xf>
    <xf numFmtId="170" fontId="1" fillId="0" borderId="8" xfId="0" applyNumberFormat="1" applyFont="1" applyBorder="1" applyAlignment="1">
      <alignment horizontal="right"/>
    </xf>
    <xf numFmtId="2" fontId="0" fillId="0" borderId="7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72" fontId="0" fillId="0" borderId="2" xfId="0" applyNumberFormat="1" applyBorder="1" applyAlignment="1">
      <alignment horizontal="center"/>
    </xf>
    <xf numFmtId="169" fontId="0" fillId="0" borderId="3" xfId="0" applyNumberFormat="1" applyBorder="1" applyAlignment="1">
      <alignment horizontal="right" vertical="center"/>
    </xf>
    <xf numFmtId="169" fontId="0" fillId="0" borderId="4" xfId="0" applyNumberFormat="1" applyBorder="1" applyAlignment="1">
      <alignment horizontal="right" vertical="center"/>
    </xf>
    <xf numFmtId="169" fontId="0" fillId="0" borderId="5" xfId="0" applyNumberFormat="1" applyBorder="1" applyAlignment="1">
      <alignment horizontal="right" vertical="center"/>
    </xf>
    <xf numFmtId="169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2" fontId="10" fillId="0" borderId="2" xfId="0" applyNumberFormat="1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2" fillId="0" borderId="11" xfId="0" applyFont="1" applyBorder="1" applyAlignment="1">
      <alignment horizontal="center"/>
    </xf>
    <xf numFmtId="173" fontId="0" fillId="0" borderId="3" xfId="0" applyNumberFormat="1" applyBorder="1" applyAlignment="1">
      <alignment horizontal="right"/>
    </xf>
    <xf numFmtId="173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0" fontId="12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69" fontId="0" fillId="0" borderId="1" xfId="0" applyNumberFormat="1" applyBorder="1" applyAlignment="1">
      <alignment horizontal="right" vertical="center"/>
    </xf>
    <xf numFmtId="169" fontId="0" fillId="0" borderId="12" xfId="0" applyNumberFormat="1" applyBorder="1" applyAlignment="1">
      <alignment horizontal="right" vertical="center"/>
    </xf>
    <xf numFmtId="0" fontId="0" fillId="0" borderId="8" xfId="0" applyBorder="1" applyAlignment="1">
      <alignment horizontal="right"/>
    </xf>
    <xf numFmtId="169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169" fontId="0" fillId="0" borderId="0" xfId="0" applyNumberFormat="1" applyBorder="1" applyAlignment="1">
      <alignment horizontal="right" vertical="center"/>
    </xf>
    <xf numFmtId="169" fontId="0" fillId="0" borderId="8" xfId="0" applyNumberFormat="1" applyBorder="1" applyAlignment="1">
      <alignment horizontal="right" vertical="center"/>
    </xf>
    <xf numFmtId="0" fontId="17" fillId="0" borderId="0" xfId="0" applyFont="1"/>
    <xf numFmtId="0" fontId="18" fillId="0" borderId="0" xfId="0" applyFont="1"/>
    <xf numFmtId="165" fontId="17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4">
    <cellStyle name="Comma 2" xfId="2" xr:uid="{7541B2DD-07B5-4536-A27A-A68FD0D49531}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1076325</xdr:colOff>
      <xdr:row>1</xdr:row>
      <xdr:rowOff>9525</xdr:rowOff>
    </xdr:from>
    <xdr:to>
      <xdr:col>8</xdr:col>
      <xdr:colOff>497914</xdr:colOff>
      <xdr:row>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F46AE2-B1C6-4028-8BC0-C1782138D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200025"/>
          <a:ext cx="3383989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rivers.anneberg.weburl.ro/german-payslip-explained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F39"/>
  <sheetViews>
    <sheetView workbookViewId="0">
      <selection activeCell="D10" sqref="D10"/>
    </sheetView>
  </sheetViews>
  <sheetFormatPr defaultRowHeight="14.4" x14ac:dyDescent="0.3"/>
  <cols>
    <col min="2" max="2" width="14" customWidth="1"/>
    <col min="3" max="3" width="21" customWidth="1"/>
    <col min="4" max="4" width="27.77734375" style="1" customWidth="1"/>
    <col min="5" max="5" width="18.88671875" customWidth="1"/>
    <col min="6" max="6" width="17.33203125" customWidth="1"/>
    <col min="7" max="7" width="14.109375" bestFit="1" customWidth="1"/>
    <col min="11" max="11" width="10.6640625" customWidth="1"/>
  </cols>
  <sheetData>
    <row r="9" spans="3:4" x14ac:dyDescent="0.3">
      <c r="C9" s="59" t="s">
        <v>129</v>
      </c>
      <c r="D9" s="16">
        <v>43586</v>
      </c>
    </row>
    <row r="10" spans="3:4" x14ac:dyDescent="0.3">
      <c r="C10" s="59" t="s">
        <v>130</v>
      </c>
      <c r="D10" s="16">
        <v>43646</v>
      </c>
    </row>
    <row r="11" spans="3:4" x14ac:dyDescent="0.3">
      <c r="C11" s="18"/>
    </row>
    <row r="12" spans="3:4" x14ac:dyDescent="0.3">
      <c r="C12" s="59" t="s">
        <v>131</v>
      </c>
      <c r="D12" s="17">
        <v>2200</v>
      </c>
    </row>
    <row r="13" spans="3:4" x14ac:dyDescent="0.3">
      <c r="C13" s="27" t="s">
        <v>132</v>
      </c>
      <c r="D13" s="4">
        <v>24</v>
      </c>
    </row>
    <row r="14" spans="3:4" x14ac:dyDescent="0.3">
      <c r="C14" s="27" t="s">
        <v>133</v>
      </c>
      <c r="D14" s="4">
        <f>SUM(D15:D17)*2</f>
        <v>180</v>
      </c>
    </row>
    <row r="15" spans="3:4" x14ac:dyDescent="0.3">
      <c r="C15" s="27" t="s">
        <v>76</v>
      </c>
      <c r="D15" s="4">
        <v>24</v>
      </c>
    </row>
    <row r="16" spans="3:4" x14ac:dyDescent="0.3">
      <c r="C16" s="27" t="s">
        <v>75</v>
      </c>
      <c r="D16" s="4">
        <v>24</v>
      </c>
    </row>
    <row r="17" spans="2:6" x14ac:dyDescent="0.3">
      <c r="C17" s="27" t="s">
        <v>123</v>
      </c>
      <c r="D17" s="4">
        <v>42</v>
      </c>
    </row>
    <row r="19" spans="2:6" x14ac:dyDescent="0.3">
      <c r="D19"/>
    </row>
    <row r="20" spans="2:6" ht="16.8" x14ac:dyDescent="0.3">
      <c r="C20" s="11" t="s">
        <v>135</v>
      </c>
      <c r="D20"/>
    </row>
    <row r="21" spans="2:6" ht="16.8" x14ac:dyDescent="0.3">
      <c r="C21" s="11" t="s">
        <v>136</v>
      </c>
      <c r="D21"/>
    </row>
    <row r="22" spans="2:6" x14ac:dyDescent="0.3">
      <c r="D22"/>
    </row>
    <row r="23" spans="2:6" x14ac:dyDescent="0.3">
      <c r="D23"/>
    </row>
    <row r="24" spans="2:6" x14ac:dyDescent="0.3">
      <c r="D24"/>
    </row>
    <row r="25" spans="2:6" x14ac:dyDescent="0.3">
      <c r="B25" s="21" t="s">
        <v>126</v>
      </c>
      <c r="C25" s="21" t="s">
        <v>18</v>
      </c>
      <c r="D25" s="21" t="s">
        <v>17</v>
      </c>
      <c r="E25" s="22" t="s">
        <v>16</v>
      </c>
      <c r="F25" s="21" t="s">
        <v>15</v>
      </c>
    </row>
    <row r="26" spans="2:6" x14ac:dyDescent="0.3">
      <c r="B26" s="20">
        <v>1367.25</v>
      </c>
      <c r="C26" s="20">
        <v>44.66</v>
      </c>
      <c r="D26" s="19">
        <f t="shared" ref="D26:D36" si="0">+C26/B26</f>
        <v>3.2664106783689889E-2</v>
      </c>
      <c r="E26" s="3">
        <v>274.47000000000003</v>
      </c>
      <c r="F26" s="19">
        <f t="shared" ref="F26:F36" si="1">+E26/B26</f>
        <v>0.20074602303894681</v>
      </c>
    </row>
    <row r="27" spans="2:6" x14ac:dyDescent="0.3">
      <c r="B27" s="20">
        <v>1443</v>
      </c>
      <c r="C27" s="20">
        <v>59.5</v>
      </c>
      <c r="D27" s="19">
        <f t="shared" si="0"/>
        <v>4.1233541233541234E-2</v>
      </c>
      <c r="E27" s="3">
        <v>289.68</v>
      </c>
      <c r="F27" s="19">
        <f t="shared" si="1"/>
        <v>0.20074844074844075</v>
      </c>
    </row>
    <row r="28" spans="2:6" x14ac:dyDescent="0.3">
      <c r="B28" s="20">
        <v>1861</v>
      </c>
      <c r="C28" s="20">
        <v>158.77000000000001</v>
      </c>
      <c r="D28" s="19">
        <f t="shared" si="0"/>
        <v>8.5314347125201515E-2</v>
      </c>
      <c r="E28" s="3">
        <v>373.58</v>
      </c>
      <c r="F28" s="19">
        <f t="shared" si="1"/>
        <v>0.20074153680816764</v>
      </c>
    </row>
    <row r="29" spans="2:6" x14ac:dyDescent="0.3">
      <c r="B29" s="20">
        <v>1992.28</v>
      </c>
      <c r="C29" s="20">
        <v>188.58</v>
      </c>
      <c r="D29" s="19">
        <f t="shared" si="0"/>
        <v>9.465536972714679E-2</v>
      </c>
      <c r="E29" s="3">
        <v>399.95</v>
      </c>
      <c r="F29" s="19">
        <f t="shared" si="1"/>
        <v>0.20074989459312947</v>
      </c>
    </row>
    <row r="30" spans="2:6" x14ac:dyDescent="0.3">
      <c r="B30" s="20">
        <v>2129.25</v>
      </c>
      <c r="C30" s="20">
        <v>220.4</v>
      </c>
      <c r="D30" s="19">
        <f t="shared" si="0"/>
        <v>0.10351062580720911</v>
      </c>
      <c r="E30" s="3">
        <v>427.44</v>
      </c>
      <c r="F30" s="19">
        <f t="shared" si="1"/>
        <v>0.20074674181049665</v>
      </c>
    </row>
    <row r="31" spans="2:6" x14ac:dyDescent="0.3">
      <c r="B31" s="20">
        <v>2361</v>
      </c>
      <c r="C31" s="20">
        <v>275.88</v>
      </c>
      <c r="D31" s="19">
        <f t="shared" si="0"/>
        <v>0.11684879288437103</v>
      </c>
      <c r="E31" s="3">
        <v>473.96</v>
      </c>
      <c r="F31" s="19">
        <f t="shared" si="1"/>
        <v>0.20074544684455739</v>
      </c>
    </row>
    <row r="32" spans="2:6" x14ac:dyDescent="0.3">
      <c r="B32" s="20">
        <v>2361</v>
      </c>
      <c r="C32" s="20">
        <v>275.88</v>
      </c>
      <c r="D32" s="19">
        <f t="shared" si="0"/>
        <v>0.11684879288437103</v>
      </c>
      <c r="E32" s="3">
        <v>473.96</v>
      </c>
      <c r="F32" s="19">
        <f t="shared" si="1"/>
        <v>0.20074544684455739</v>
      </c>
    </row>
    <row r="33" spans="2:6" x14ac:dyDescent="0.3">
      <c r="B33" s="20">
        <v>2456</v>
      </c>
      <c r="C33" s="20">
        <v>299.26</v>
      </c>
      <c r="D33" s="19">
        <f t="shared" si="0"/>
        <v>0.12184853420195439</v>
      </c>
      <c r="E33" s="3">
        <v>493.04</v>
      </c>
      <c r="F33" s="19">
        <f t="shared" si="1"/>
        <v>0.20074918566775246</v>
      </c>
    </row>
    <row r="34" spans="2:6" x14ac:dyDescent="0.3">
      <c r="B34" s="20">
        <v>2461</v>
      </c>
      <c r="C34" s="20">
        <v>300.49</v>
      </c>
      <c r="D34" s="19">
        <f t="shared" si="0"/>
        <v>0.1221007720438846</v>
      </c>
      <c r="E34" s="3">
        <v>494.03</v>
      </c>
      <c r="F34" s="19">
        <f t="shared" si="1"/>
        <v>0.20074360016253553</v>
      </c>
    </row>
    <row r="35" spans="2:6" x14ac:dyDescent="0.3">
      <c r="B35" s="20">
        <v>2536</v>
      </c>
      <c r="C35" s="20">
        <v>319.13</v>
      </c>
      <c r="D35" s="19">
        <f t="shared" si="0"/>
        <v>0.12583990536277603</v>
      </c>
      <c r="E35" s="3">
        <v>509.1</v>
      </c>
      <c r="F35" s="19">
        <f t="shared" si="1"/>
        <v>0.20074921135646689</v>
      </c>
    </row>
    <row r="36" spans="2:6" x14ac:dyDescent="0.3">
      <c r="B36" s="20">
        <v>2561</v>
      </c>
      <c r="C36" s="20">
        <v>325.37</v>
      </c>
      <c r="D36" s="19">
        <f t="shared" si="0"/>
        <v>0.12704802811401797</v>
      </c>
      <c r="E36" s="3">
        <v>514.11</v>
      </c>
      <c r="F36" s="19">
        <f t="shared" si="1"/>
        <v>0.20074580242092932</v>
      </c>
    </row>
    <row r="38" spans="2:6" x14ac:dyDescent="0.3">
      <c r="D38"/>
    </row>
    <row r="39" spans="2:6" x14ac:dyDescent="0.3">
      <c r="D39"/>
    </row>
  </sheetData>
  <sheetProtection algorithmName="SHA-512" hashValue="rtz2u7Tx/VBmUxAjkN+x/9iWWOZe3zuEeG8BBpi2JXDFBO002pPzJVe595iylMkw6MX4OD4b1l6SWtGnjXxDzg==" saltValue="cn+QcSDLVBCm4eWwvu/XIA==" spinCount="100000" sheet="1" objects="1" scenarios="1" selectLockedCells="1"/>
  <protectedRanges>
    <protectedRange sqref="D12" name="salary"/>
    <protectedRange sqref="D9:D10" name="Dates"/>
  </protectedRanges>
  <dataValidations count="1">
    <dataValidation type="custom" showErrorMessage="1" errorTitle="More than 1 month" error="the formulas works only for periods lower than one one month of a full month" promptTitle="The maximum period acceptable is" sqref="D10" xr:uid="{50BCFEF3-5145-4966-932C-53992F0DBC61}">
      <formula1>D9+31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709-9DCB-4BBD-93E0-61A9537933FB}">
  <dimension ref="A1:K39"/>
  <sheetViews>
    <sheetView workbookViewId="0">
      <selection activeCell="C39" sqref="C39"/>
    </sheetView>
  </sheetViews>
  <sheetFormatPr defaultRowHeight="14.4" x14ac:dyDescent="0.3"/>
  <cols>
    <col min="1" max="1" width="22.6640625" style="1" bestFit="1" customWidth="1"/>
    <col min="2" max="2" width="12" customWidth="1"/>
    <col min="3" max="3" width="11.5546875" customWidth="1"/>
    <col min="4" max="4" width="14.88671875" customWidth="1"/>
    <col min="5" max="5" width="11.5546875" customWidth="1"/>
    <col min="7" max="7" width="22.5546875" bestFit="1" customWidth="1"/>
    <col min="8" max="8" width="11" bestFit="1" customWidth="1"/>
    <col min="9" max="9" width="12.109375" customWidth="1"/>
    <col min="10" max="10" width="15.6640625" customWidth="1"/>
    <col min="11" max="11" width="12.44140625" customWidth="1"/>
  </cols>
  <sheetData>
    <row r="1" spans="1:11" s="2" customFormat="1" ht="43.2" x14ac:dyDescent="0.3">
      <c r="A1" s="5" t="str">
        <f>TEXT(variables!D9,"mmmm yyyy")</f>
        <v>May 2019</v>
      </c>
      <c r="B1" s="7" t="s">
        <v>12</v>
      </c>
      <c r="C1" s="7" t="str">
        <f>variables!C15</f>
        <v>Spesen (steuerfrei)</v>
      </c>
      <c r="D1" s="7" t="str">
        <f>variables!C16</f>
        <v>Spesen (pauschal versteuert)</v>
      </c>
      <c r="E1" s="7" t="str">
        <f>variables!C17</f>
        <v>Spesen (versteuert)</v>
      </c>
      <c r="G1" s="5" t="str">
        <f>TEXT(variables!D10,"mmmm yyyy")</f>
        <v>June 2019</v>
      </c>
      <c r="H1" s="7" t="s">
        <v>12</v>
      </c>
      <c r="I1" s="7" t="str">
        <f>variables!C15</f>
        <v>Spesen (steuerfrei)</v>
      </c>
      <c r="J1" s="7" t="str">
        <f>variables!C16</f>
        <v>Spesen (pauschal versteuert)</v>
      </c>
      <c r="K1" s="7" t="str">
        <f>variables!C17</f>
        <v>Spesen (versteuert)</v>
      </c>
    </row>
    <row r="2" spans="1:11" x14ac:dyDescent="0.3">
      <c r="A2" s="1">
        <f>IF(MONTH(variables!D9)=MONTH(variables!D10), "",variables!D9-DAY(variables!D9)+1)</f>
        <v>43586</v>
      </c>
      <c r="B2" s="4">
        <f>IF(C2="","",math!$C$2)</f>
        <v>70.967741935483872</v>
      </c>
      <c r="C2" s="4">
        <f>IF(A2&lt;"",IF(A2&lt;variables!$D$9,"",variables!$D$13),"")</f>
        <v>24</v>
      </c>
      <c r="D2" s="4" t="str">
        <f>IF(C2&lt;"",IF(WEEKDAY(A2,1)&gt;6,variables!$D$15,""),"")</f>
        <v/>
      </c>
      <c r="E2" s="4" t="str">
        <f>IF(D2="","",variables!$D$17)</f>
        <v/>
      </c>
      <c r="G2" s="1">
        <f>variables!$D$10-DAY(variables!$D$10)+1</f>
        <v>43617</v>
      </c>
      <c r="H2" s="4">
        <f>IF(I2="","",math!$C$3)</f>
        <v>73.333333333333329</v>
      </c>
      <c r="I2" s="4">
        <f>IF(G2&lt;"",IF(G2&gt;variables!$D$10,"",variables!$D$13),"")</f>
        <v>24</v>
      </c>
      <c r="J2" s="4">
        <f>IF(I2&lt;"",IF(WEEKDAY(G2,1)&gt;6,variables!$D$15,""),"")</f>
        <v>24</v>
      </c>
      <c r="K2" s="4">
        <f>IF(J2="","",variables!$D$17)</f>
        <v>42</v>
      </c>
    </row>
    <row r="3" spans="1:11" x14ac:dyDescent="0.3">
      <c r="A3" s="1">
        <f>IF(A2&gt;=math!$B$10,"",distribution!A2+1)</f>
        <v>43587</v>
      </c>
      <c r="B3" s="4">
        <f>IF(C3="","",math!$C$2)</f>
        <v>70.967741935483872</v>
      </c>
      <c r="C3" s="4">
        <f>IF(A3&lt;"",IF(A3&lt;variables!$D$9,"",variables!$D$13),"")</f>
        <v>24</v>
      </c>
      <c r="D3" s="4" t="str">
        <f>IF(C3&lt;"",IF(WEEKDAY(A3,2)&gt;5,variables!$D$15,""),"")</f>
        <v/>
      </c>
      <c r="E3" s="4" t="str">
        <f>IF(D3="","",variables!$D$17)</f>
        <v/>
      </c>
      <c r="G3" s="1">
        <f>IF(G2&gt;=math!$B$11,"",distribution!G2+1)</f>
        <v>43618</v>
      </c>
      <c r="H3" s="4">
        <f>IF(I3="","",math!$C$3)</f>
        <v>73.333333333333329</v>
      </c>
      <c r="I3" s="4">
        <f>IF(G3&lt;"",IF(G3&gt;variables!$D$10,"",variables!$D$13),"")</f>
        <v>24</v>
      </c>
      <c r="J3" s="4">
        <f>IF(I3&lt;"",IF(WEEKDAY(G3,2)&gt;5,variables!$D$15,""),"")</f>
        <v>24</v>
      </c>
      <c r="K3" s="4">
        <f>IF(J3="","",variables!$D$17)</f>
        <v>42</v>
      </c>
    </row>
    <row r="4" spans="1:11" x14ac:dyDescent="0.3">
      <c r="A4" s="1">
        <f>IF(A3&gt;=math!$B$10,"",distribution!A3+1)</f>
        <v>43588</v>
      </c>
      <c r="B4" s="4">
        <f>IF(C4="","",math!$C$2)</f>
        <v>70.967741935483872</v>
      </c>
      <c r="C4" s="4">
        <f>IF(A4&lt;"",IF(A4&lt;variables!$D$9,"",variables!$D$13),"")</f>
        <v>24</v>
      </c>
      <c r="D4" s="4" t="str">
        <f>IF(C4&lt;"",IF(WEEKDAY(A4,2)&gt;5,variables!$D$15,""),"")</f>
        <v/>
      </c>
      <c r="E4" s="4" t="str">
        <f>IF(D4="","",variables!$D$17)</f>
        <v/>
      </c>
      <c r="G4" s="1">
        <f>IF(G3&gt;=math!$B$11,"",distribution!G3+1)</f>
        <v>43619</v>
      </c>
      <c r="H4" s="4">
        <f>IF(I4="","",math!$C$3)</f>
        <v>73.333333333333329</v>
      </c>
      <c r="I4" s="4">
        <f>IF(G4&lt;"",IF(G4&gt;variables!$D$10,"",variables!$D$13),"")</f>
        <v>24</v>
      </c>
      <c r="J4" s="4" t="str">
        <f>IF(I4&lt;"",IF(WEEKDAY(G4,2)&gt;5,variables!$D$15,""),"")</f>
        <v/>
      </c>
      <c r="K4" s="4" t="str">
        <f>IF(J4="","",variables!$D$17)</f>
        <v/>
      </c>
    </row>
    <row r="5" spans="1:11" x14ac:dyDescent="0.3">
      <c r="A5" s="1">
        <f>IF(A4&gt;=math!$B$10,"",distribution!A4+1)</f>
        <v>43589</v>
      </c>
      <c r="B5" s="4">
        <f>IF(C5="","",math!$C$2)</f>
        <v>70.967741935483872</v>
      </c>
      <c r="C5" s="4">
        <f>IF(A5&lt;"",IF(A5&lt;variables!$D$9,"",variables!$D$13),"")</f>
        <v>24</v>
      </c>
      <c r="D5" s="4">
        <f>IF(C5&lt;"",IF(WEEKDAY(A5,2)&gt;5,variables!$D$15,""),"")</f>
        <v>24</v>
      </c>
      <c r="E5" s="4">
        <f>IF(D5="","",variables!$D$17)</f>
        <v>42</v>
      </c>
      <c r="G5" s="1">
        <f>IF(G4&gt;=math!$B$11,"",distribution!G4+1)</f>
        <v>43620</v>
      </c>
      <c r="H5" s="4">
        <f>IF(I5="","",math!$C$3)</f>
        <v>73.333333333333329</v>
      </c>
      <c r="I5" s="4">
        <f>IF(G5&lt;"",IF(G5&gt;variables!$D$10,"",variables!$D$13),"")</f>
        <v>24</v>
      </c>
      <c r="J5" s="4" t="str">
        <f>IF(I5&lt;"",IF(WEEKDAY(G5,2)&gt;5,variables!$D$15,""),"")</f>
        <v/>
      </c>
      <c r="K5" s="4" t="str">
        <f>IF(J5="","",variables!$D$17)</f>
        <v/>
      </c>
    </row>
    <row r="6" spans="1:11" x14ac:dyDescent="0.3">
      <c r="A6" s="1">
        <f>IF(A5&gt;=math!$B$10,"",distribution!A5+1)</f>
        <v>43590</v>
      </c>
      <c r="B6" s="4">
        <f>IF(C6="","",math!$C$2)</f>
        <v>70.967741935483872</v>
      </c>
      <c r="C6" s="4">
        <f>IF(A6&lt;"",IF(A6&lt;variables!$D$9,"",variables!$D$13),"")</f>
        <v>24</v>
      </c>
      <c r="D6" s="4">
        <f>IF(C6&lt;"",IF(WEEKDAY(A6,2)&gt;5,variables!$D$15,""),"")</f>
        <v>24</v>
      </c>
      <c r="E6" s="4">
        <f>IF(D6="","",variables!$D$17)</f>
        <v>42</v>
      </c>
      <c r="G6" s="1">
        <f>IF(G5&gt;=math!$B$11,"",distribution!G5+1)</f>
        <v>43621</v>
      </c>
      <c r="H6" s="4">
        <f>IF(I6="","",math!$C$3)</f>
        <v>73.333333333333329</v>
      </c>
      <c r="I6" s="4">
        <f>IF(G6&lt;"",IF(G6&gt;variables!$D$10,"",variables!$D$13),"")</f>
        <v>24</v>
      </c>
      <c r="J6" s="4" t="str">
        <f>IF(I6&lt;"",IF(WEEKDAY(G6,2)&gt;5,variables!$D$15,""),"")</f>
        <v/>
      </c>
      <c r="K6" s="4" t="str">
        <f>IF(J6="","",variables!$D$17)</f>
        <v/>
      </c>
    </row>
    <row r="7" spans="1:11" x14ac:dyDescent="0.3">
      <c r="A7" s="1">
        <f>IF(A6&gt;=math!$B$10,"",distribution!A6+1)</f>
        <v>43591</v>
      </c>
      <c r="B7" s="4">
        <f>IF(C7="","",math!$C$2)</f>
        <v>70.967741935483872</v>
      </c>
      <c r="C7" s="4">
        <f>IF(A7&lt;"",IF(A7&lt;variables!$D$9,"",variables!$D$13),"")</f>
        <v>24</v>
      </c>
      <c r="D7" s="4" t="str">
        <f>IF(C7&lt;"",IF(WEEKDAY(A7,2)&gt;5,variables!$D$15,""),"")</f>
        <v/>
      </c>
      <c r="E7" s="4" t="str">
        <f>IF(D7="","",variables!$D$17)</f>
        <v/>
      </c>
      <c r="G7" s="1">
        <f>IF(G6&gt;=math!$B$11,"",distribution!G6+1)</f>
        <v>43622</v>
      </c>
      <c r="H7" s="4">
        <f>IF(I7="","",math!$C$3)</f>
        <v>73.333333333333329</v>
      </c>
      <c r="I7" s="4">
        <f>IF(G7&lt;"",IF(G7&gt;variables!$D$10,"",variables!$D$13),"")</f>
        <v>24</v>
      </c>
      <c r="J7" s="4" t="str">
        <f>IF(I7&lt;"",IF(WEEKDAY(G7,2)&gt;5,variables!$D$15,""),"")</f>
        <v/>
      </c>
      <c r="K7" s="4" t="str">
        <f>IF(J7="","",variables!$D$17)</f>
        <v/>
      </c>
    </row>
    <row r="8" spans="1:11" x14ac:dyDescent="0.3">
      <c r="A8" s="1">
        <f>IF(A7&gt;=math!$B$10,"",distribution!A7+1)</f>
        <v>43592</v>
      </c>
      <c r="B8" s="4">
        <f>IF(C8="","",math!$C$2)</f>
        <v>70.967741935483872</v>
      </c>
      <c r="C8" s="4">
        <f>IF(A8&lt;"",IF(A8&lt;variables!$D$9,"",variables!$D$13),"")</f>
        <v>24</v>
      </c>
      <c r="D8" s="4" t="str">
        <f>IF(C8&lt;"",IF(WEEKDAY(A8,2)&gt;5,variables!$D$15,""),"")</f>
        <v/>
      </c>
      <c r="E8" s="4" t="str">
        <f>IF(D8="","",variables!$D$17)</f>
        <v/>
      </c>
      <c r="G8" s="1">
        <f>IF(G7&gt;=math!$B$11,"",distribution!G7+1)</f>
        <v>43623</v>
      </c>
      <c r="H8" s="4">
        <f>IF(I8="","",math!$C$3)</f>
        <v>73.333333333333329</v>
      </c>
      <c r="I8" s="4">
        <f>IF(G8&lt;"",IF(G8&gt;variables!$D$10,"",variables!$D$13),"")</f>
        <v>24</v>
      </c>
      <c r="J8" s="4" t="str">
        <f>IF(I8&lt;"",IF(WEEKDAY(G8,2)&gt;5,variables!$D$15,""),"")</f>
        <v/>
      </c>
      <c r="K8" s="4" t="str">
        <f>IF(J8="","",variables!$D$17)</f>
        <v/>
      </c>
    </row>
    <row r="9" spans="1:11" x14ac:dyDescent="0.3">
      <c r="A9" s="1">
        <f>IF(A8&gt;=math!$B$10,"",distribution!A8+1)</f>
        <v>43593</v>
      </c>
      <c r="B9" s="4">
        <f>IF(C9="","",math!$C$2)</f>
        <v>70.967741935483872</v>
      </c>
      <c r="C9" s="4">
        <f>IF(A9&lt;"",IF(A9&lt;variables!$D$9,"",variables!$D$13),"")</f>
        <v>24</v>
      </c>
      <c r="D9" s="4" t="str">
        <f>IF(C9&lt;"",IF(WEEKDAY(A9,2)&gt;5,variables!$D$15,""),"")</f>
        <v/>
      </c>
      <c r="E9" s="4" t="str">
        <f>IF(D9="","",variables!$D$17)</f>
        <v/>
      </c>
      <c r="G9" s="1">
        <f>IF(G8&gt;=math!$B$11,"",distribution!G8+1)</f>
        <v>43624</v>
      </c>
      <c r="H9" s="4">
        <f>IF(I9="","",math!$C$3)</f>
        <v>73.333333333333329</v>
      </c>
      <c r="I9" s="4">
        <f>IF(G9&lt;"",IF(G9&gt;variables!$D$10,"",variables!$D$13),"")</f>
        <v>24</v>
      </c>
      <c r="J9" s="4">
        <f>IF(I9&lt;"",IF(WEEKDAY(G9,2)&gt;5,variables!$D$15,""),"")</f>
        <v>24</v>
      </c>
      <c r="K9" s="4">
        <f>IF(J9="","",variables!$D$17)</f>
        <v>42</v>
      </c>
    </row>
    <row r="10" spans="1:11" x14ac:dyDescent="0.3">
      <c r="A10" s="1">
        <f>IF(A9&gt;=math!$B$10,"",distribution!A9+1)</f>
        <v>43594</v>
      </c>
      <c r="B10" s="4">
        <f>IF(C10="","",math!$C$2)</f>
        <v>70.967741935483872</v>
      </c>
      <c r="C10" s="4">
        <f>IF(A10&lt;"",IF(A10&lt;variables!$D$9,"",variables!$D$13),"")</f>
        <v>24</v>
      </c>
      <c r="D10" s="4" t="str">
        <f>IF(C10&lt;"",IF(WEEKDAY(A10,2)&gt;5,variables!$D$15,""),"")</f>
        <v/>
      </c>
      <c r="E10" s="4" t="str">
        <f>IF(D10="","",variables!$D$17)</f>
        <v/>
      </c>
      <c r="G10" s="1">
        <f>IF(G9&gt;=math!$B$11,"",distribution!G9+1)</f>
        <v>43625</v>
      </c>
      <c r="H10" s="4">
        <f>IF(I10="","",math!$C$3)</f>
        <v>73.333333333333329</v>
      </c>
      <c r="I10" s="4">
        <f>IF(G10&lt;"",IF(G10&gt;variables!$D$10,"",variables!$D$13),"")</f>
        <v>24</v>
      </c>
      <c r="J10" s="4">
        <f>IF(I10&lt;"",IF(WEEKDAY(G10,2)&gt;5,variables!$D$15,""),"")</f>
        <v>24</v>
      </c>
      <c r="K10" s="4">
        <f>IF(J10="","",variables!$D$17)</f>
        <v>42</v>
      </c>
    </row>
    <row r="11" spans="1:11" x14ac:dyDescent="0.3">
      <c r="A11" s="1">
        <f>IF(A10&gt;=math!$B$10,"",distribution!A10+1)</f>
        <v>43595</v>
      </c>
      <c r="B11" s="4">
        <f>IF(C11="","",math!$C$2)</f>
        <v>70.967741935483872</v>
      </c>
      <c r="C11" s="4">
        <f>IF(A11&lt;"",IF(A11&lt;variables!$D$9,"",variables!$D$13),"")</f>
        <v>24</v>
      </c>
      <c r="D11" s="4" t="str">
        <f>IF(C11&lt;"",IF(WEEKDAY(A11,2)&gt;5,variables!$D$15,""),"")</f>
        <v/>
      </c>
      <c r="E11" s="4" t="str">
        <f>IF(D11="","",variables!$D$17)</f>
        <v/>
      </c>
      <c r="G11" s="1">
        <f>IF(G10&gt;=math!$B$11,"",distribution!G10+1)</f>
        <v>43626</v>
      </c>
      <c r="H11" s="4">
        <f>IF(I11="","",math!$C$3)</f>
        <v>73.333333333333329</v>
      </c>
      <c r="I11" s="4">
        <f>IF(G11&lt;"",IF(G11&gt;variables!$D$10,"",variables!$D$13),"")</f>
        <v>24</v>
      </c>
      <c r="J11" s="4" t="str">
        <f>IF(I11&lt;"",IF(WEEKDAY(G11,2)&gt;5,variables!$D$15,""),"")</f>
        <v/>
      </c>
      <c r="K11" s="4" t="str">
        <f>IF(J11="","",variables!$D$17)</f>
        <v/>
      </c>
    </row>
    <row r="12" spans="1:11" x14ac:dyDescent="0.3">
      <c r="A12" s="1">
        <f>IF(A11&gt;=math!$B$10,"",distribution!A11+1)</f>
        <v>43596</v>
      </c>
      <c r="B12" s="4">
        <f>IF(C12="","",math!$C$2)</f>
        <v>70.967741935483872</v>
      </c>
      <c r="C12" s="4">
        <f>IF(A12&lt;"",IF(A12&lt;variables!$D$9,"",variables!$D$13),"")</f>
        <v>24</v>
      </c>
      <c r="D12" s="4">
        <f>IF(C12&lt;"",IF(WEEKDAY(A12,2)&gt;5,variables!$D$15,""),"")</f>
        <v>24</v>
      </c>
      <c r="E12" s="4">
        <f>IF(D12="","",variables!$D$17)</f>
        <v>42</v>
      </c>
      <c r="G12" s="1">
        <f>IF(G11&gt;=math!$B$11,"",distribution!G11+1)</f>
        <v>43627</v>
      </c>
      <c r="H12" s="4">
        <f>IF(I12="","",math!$C$3)</f>
        <v>73.333333333333329</v>
      </c>
      <c r="I12" s="4">
        <f>IF(G12&lt;"",IF(G12&gt;variables!$D$10,"",variables!$D$13),"")</f>
        <v>24</v>
      </c>
      <c r="J12" s="4" t="str">
        <f>IF(I12&lt;"",IF(WEEKDAY(G12,2)&gt;5,variables!$D$15,""),"")</f>
        <v/>
      </c>
      <c r="K12" s="4" t="str">
        <f>IF(J12="","",variables!$D$17)</f>
        <v/>
      </c>
    </row>
    <row r="13" spans="1:11" x14ac:dyDescent="0.3">
      <c r="A13" s="1">
        <f>IF(A12&gt;=math!$B$10,"",distribution!A12+1)</f>
        <v>43597</v>
      </c>
      <c r="B13" s="4">
        <f>IF(C13="","",math!$C$2)</f>
        <v>70.967741935483872</v>
      </c>
      <c r="C13" s="4">
        <f>IF(A13&lt;"",IF(A13&lt;variables!$D$9,"",variables!$D$13),"")</f>
        <v>24</v>
      </c>
      <c r="D13" s="4">
        <f>IF(C13&lt;"",IF(WEEKDAY(A13,2)&gt;5,variables!$D$15,""),"")</f>
        <v>24</v>
      </c>
      <c r="E13" s="4">
        <f>IF(D13="","",variables!$D$17)</f>
        <v>42</v>
      </c>
      <c r="G13" s="1">
        <f>IF(G12&gt;=math!$B$11,"",distribution!G12+1)</f>
        <v>43628</v>
      </c>
      <c r="H13" s="4">
        <f>IF(I13="","",math!$C$3)</f>
        <v>73.333333333333329</v>
      </c>
      <c r="I13" s="4">
        <f>IF(G13&lt;"",IF(G13&gt;variables!$D$10,"",variables!$D$13),"")</f>
        <v>24</v>
      </c>
      <c r="J13" s="4" t="str">
        <f>IF(I13&lt;"",IF(WEEKDAY(G13,2)&gt;5,variables!$D$15,""),"")</f>
        <v/>
      </c>
      <c r="K13" s="4" t="str">
        <f>IF(J13="","",variables!$D$17)</f>
        <v/>
      </c>
    </row>
    <row r="14" spans="1:11" x14ac:dyDescent="0.3">
      <c r="A14" s="1">
        <f>IF(A13&gt;=math!$B$10,"",distribution!A13+1)</f>
        <v>43598</v>
      </c>
      <c r="B14" s="4">
        <f>IF(C14="","",math!$C$2)</f>
        <v>70.967741935483872</v>
      </c>
      <c r="C14" s="4">
        <f>IF(A14&lt;"",IF(A14&lt;variables!$D$9,"",variables!$D$13),"")</f>
        <v>24</v>
      </c>
      <c r="D14" s="4" t="str">
        <f>IF(C14&lt;"",IF(WEEKDAY(A14,2)&gt;5,variables!$D$15,""),"")</f>
        <v/>
      </c>
      <c r="E14" s="4" t="str">
        <f>IF(D14="","",variables!$D$17)</f>
        <v/>
      </c>
      <c r="G14" s="1">
        <f>IF(G13&gt;=math!$B$11,"",distribution!G13+1)</f>
        <v>43629</v>
      </c>
      <c r="H14" s="4">
        <f>IF(I14="","",math!$C$3)</f>
        <v>73.333333333333329</v>
      </c>
      <c r="I14" s="4">
        <f>IF(G14&lt;"",IF(G14&gt;variables!$D$10,"",variables!$D$13),"")</f>
        <v>24</v>
      </c>
      <c r="J14" s="4" t="str">
        <f>IF(I14&lt;"",IF(WEEKDAY(G14,2)&gt;5,variables!$D$15,""),"")</f>
        <v/>
      </c>
      <c r="K14" s="4" t="str">
        <f>IF(J14="","",variables!$D$17)</f>
        <v/>
      </c>
    </row>
    <row r="15" spans="1:11" x14ac:dyDescent="0.3">
      <c r="A15" s="1">
        <f>IF(A14&gt;=math!$B$10,"",distribution!A14+1)</f>
        <v>43599</v>
      </c>
      <c r="B15" s="4">
        <f>IF(C15="","",math!$C$2)</f>
        <v>70.967741935483872</v>
      </c>
      <c r="C15" s="4">
        <f>IF(A15&lt;"",IF(A15&lt;variables!$D$9,"",variables!$D$13),"")</f>
        <v>24</v>
      </c>
      <c r="D15" s="4" t="str">
        <f>IF(C15&lt;"",IF(WEEKDAY(A15,2)&gt;5,variables!$D$15,""),"")</f>
        <v/>
      </c>
      <c r="E15" s="4" t="str">
        <f>IF(D15="","",variables!$D$17)</f>
        <v/>
      </c>
      <c r="G15" s="1">
        <f>IF(G14&gt;=math!$B$11,"",distribution!G14+1)</f>
        <v>43630</v>
      </c>
      <c r="H15" s="4">
        <f>IF(I15="","",math!$C$3)</f>
        <v>73.333333333333329</v>
      </c>
      <c r="I15" s="4">
        <f>IF(G15&lt;"",IF(G15&gt;variables!$D$10,"",variables!$D$13),"")</f>
        <v>24</v>
      </c>
      <c r="J15" s="4" t="str">
        <f>IF(I15&lt;"",IF(WEEKDAY(G15,2)&gt;5,variables!$D$15,""),"")</f>
        <v/>
      </c>
      <c r="K15" s="4" t="str">
        <f>IF(J15="","",variables!$D$17)</f>
        <v/>
      </c>
    </row>
    <row r="16" spans="1:11" x14ac:dyDescent="0.3">
      <c r="A16" s="1">
        <f>IF(A15&gt;=math!$B$10,"",distribution!A15+1)</f>
        <v>43600</v>
      </c>
      <c r="B16" s="4">
        <f>IF(C16="","",math!$C$2)</f>
        <v>70.967741935483872</v>
      </c>
      <c r="C16" s="4">
        <f>IF(A16&lt;"",IF(A16&lt;variables!$D$9,"",variables!$D$13),"")</f>
        <v>24</v>
      </c>
      <c r="D16" s="4" t="str">
        <f>IF(C16&lt;"",IF(WEEKDAY(A16,2)&gt;5,variables!$D$15,""),"")</f>
        <v/>
      </c>
      <c r="E16" s="4" t="str">
        <f>IF(D16="","",variables!$D$17)</f>
        <v/>
      </c>
      <c r="G16" s="1">
        <f>IF(G15&gt;=math!$B$11,"",distribution!G15+1)</f>
        <v>43631</v>
      </c>
      <c r="H16" s="4">
        <f>IF(I16="","",math!$C$3)</f>
        <v>73.333333333333329</v>
      </c>
      <c r="I16" s="4">
        <f>IF(G16&lt;"",IF(G16&gt;variables!$D$10,"",variables!$D$13),"")</f>
        <v>24</v>
      </c>
      <c r="J16" s="4">
        <f>IF(I16&lt;"",IF(WEEKDAY(G16,2)&gt;5,variables!$D$15,""),"")</f>
        <v>24</v>
      </c>
      <c r="K16" s="4">
        <f>IF(J16="","",variables!$D$17)</f>
        <v>42</v>
      </c>
    </row>
    <row r="17" spans="1:11" x14ac:dyDescent="0.3">
      <c r="A17" s="1">
        <f>IF(A16&gt;=math!$B$10,"",distribution!A16+1)</f>
        <v>43601</v>
      </c>
      <c r="B17" s="4">
        <f>IF(C17="","",math!$C$2)</f>
        <v>70.967741935483872</v>
      </c>
      <c r="C17" s="4">
        <f>IF(A17&lt;"",IF(A17&lt;variables!$D$9,"",variables!$D$13),"")</f>
        <v>24</v>
      </c>
      <c r="D17" s="4" t="str">
        <f>IF(C17&lt;"",IF(WEEKDAY(A17,2)&gt;5,variables!$D$15,""),"")</f>
        <v/>
      </c>
      <c r="E17" s="4" t="str">
        <f>IF(D17="","",variables!$D$17)</f>
        <v/>
      </c>
      <c r="G17" s="1">
        <f>IF(G16&gt;=math!$B$11,"",distribution!G16+1)</f>
        <v>43632</v>
      </c>
      <c r="H17" s="4">
        <f>IF(I17="","",math!$C$3)</f>
        <v>73.333333333333329</v>
      </c>
      <c r="I17" s="4">
        <f>IF(G17&lt;"",IF(G17&gt;variables!$D$10,"",variables!$D$13),"")</f>
        <v>24</v>
      </c>
      <c r="J17" s="4">
        <f>IF(I17&lt;"",IF(WEEKDAY(G17,2)&gt;5,variables!$D$15,""),"")</f>
        <v>24</v>
      </c>
      <c r="K17" s="4">
        <f>IF(J17="","",variables!$D$17)</f>
        <v>42</v>
      </c>
    </row>
    <row r="18" spans="1:11" x14ac:dyDescent="0.3">
      <c r="A18" s="1">
        <f>IF(A17&gt;=math!$B$10,"",distribution!A17+1)</f>
        <v>43602</v>
      </c>
      <c r="B18" s="4">
        <f>IF(C18="","",math!$C$2)</f>
        <v>70.967741935483872</v>
      </c>
      <c r="C18" s="4">
        <f>IF(A18&lt;"",IF(A18&lt;variables!$D$9,"",variables!$D$13),"")</f>
        <v>24</v>
      </c>
      <c r="D18" s="4" t="str">
        <f>IF(C18&lt;"",IF(WEEKDAY(A18,2)&gt;5,variables!$D$15,""),"")</f>
        <v/>
      </c>
      <c r="E18" s="4" t="str">
        <f>IF(D18="","",variables!$D$17)</f>
        <v/>
      </c>
      <c r="G18" s="1">
        <f>IF(G17&gt;=math!$B$11,"",distribution!G17+1)</f>
        <v>43633</v>
      </c>
      <c r="H18" s="4">
        <f>IF(I18="","",math!$C$3)</f>
        <v>73.333333333333329</v>
      </c>
      <c r="I18" s="4">
        <f>IF(G18&lt;"",IF(G18&gt;variables!$D$10,"",variables!$D$13),"")</f>
        <v>24</v>
      </c>
      <c r="J18" s="4" t="str">
        <f>IF(I18&lt;"",IF(WEEKDAY(G18,2)&gt;5,variables!$D$15,""),"")</f>
        <v/>
      </c>
      <c r="K18" s="4" t="str">
        <f>IF(J18="","",variables!$D$17)</f>
        <v/>
      </c>
    </row>
    <row r="19" spans="1:11" x14ac:dyDescent="0.3">
      <c r="A19" s="1">
        <f>IF(A18&gt;=math!$B$10,"",distribution!A18+1)</f>
        <v>43603</v>
      </c>
      <c r="B19" s="4">
        <f>IF(C19="","",math!$C$2)</f>
        <v>70.967741935483872</v>
      </c>
      <c r="C19" s="4">
        <f>IF(A19&lt;"",IF(A19&lt;variables!$D$9,"",variables!$D$13),"")</f>
        <v>24</v>
      </c>
      <c r="D19" s="4">
        <f>IF(C19&lt;"",IF(WEEKDAY(A19,2)&gt;5,variables!$D$15,""),"")</f>
        <v>24</v>
      </c>
      <c r="E19" s="4">
        <f>IF(D19="","",variables!$D$17)</f>
        <v>42</v>
      </c>
      <c r="G19" s="1">
        <f>IF(G18&gt;=math!$B$11,"",distribution!G18+1)</f>
        <v>43634</v>
      </c>
      <c r="H19" s="4">
        <f>IF(I19="","",math!$C$3)</f>
        <v>73.333333333333329</v>
      </c>
      <c r="I19" s="4">
        <f>IF(G19&lt;"",IF(G19&gt;variables!$D$10,"",variables!$D$13),"")</f>
        <v>24</v>
      </c>
      <c r="J19" s="4" t="str">
        <f>IF(I19&lt;"",IF(WEEKDAY(G19,2)&gt;5,variables!$D$15,""),"")</f>
        <v/>
      </c>
      <c r="K19" s="4" t="str">
        <f>IF(J19="","",variables!$D$17)</f>
        <v/>
      </c>
    </row>
    <row r="20" spans="1:11" x14ac:dyDescent="0.3">
      <c r="A20" s="1">
        <f>IF(A19&gt;=math!$B$10,"",distribution!A19+1)</f>
        <v>43604</v>
      </c>
      <c r="B20" s="4">
        <f>IF(C20="","",math!$C$2)</f>
        <v>70.967741935483872</v>
      </c>
      <c r="C20" s="4">
        <f>IF(A20&lt;"",IF(A20&lt;variables!$D$9,"",variables!$D$13),"")</f>
        <v>24</v>
      </c>
      <c r="D20" s="4">
        <f>IF(C20&lt;"",IF(WEEKDAY(A20,2)&gt;5,variables!$D$15,""),"")</f>
        <v>24</v>
      </c>
      <c r="E20" s="4">
        <f>IF(D20="","",variables!$D$17)</f>
        <v>42</v>
      </c>
      <c r="G20" s="1">
        <f>IF(G19&gt;=math!$B$11,"",distribution!G19+1)</f>
        <v>43635</v>
      </c>
      <c r="H20" s="4">
        <f>IF(I20="","",math!$C$3)</f>
        <v>73.333333333333329</v>
      </c>
      <c r="I20" s="4">
        <f>IF(G20&lt;"",IF(G20&gt;variables!$D$10,"",variables!$D$13),"")</f>
        <v>24</v>
      </c>
      <c r="J20" s="4" t="str">
        <f>IF(I20&lt;"",IF(WEEKDAY(G20,2)&gt;5,variables!$D$15,""),"")</f>
        <v/>
      </c>
      <c r="K20" s="4" t="str">
        <f>IF(J20="","",variables!$D$17)</f>
        <v/>
      </c>
    </row>
    <row r="21" spans="1:11" x14ac:dyDescent="0.3">
      <c r="A21" s="1">
        <f>IF(A20&gt;=math!$B$10,"",distribution!A20+1)</f>
        <v>43605</v>
      </c>
      <c r="B21" s="4">
        <f>IF(C21="","",math!$C$2)</f>
        <v>70.967741935483872</v>
      </c>
      <c r="C21" s="4">
        <f>IF(A21&lt;"",IF(A21&lt;variables!$D$9,"",variables!$D$13),"")</f>
        <v>24</v>
      </c>
      <c r="D21" s="4" t="str">
        <f>IF(C21&lt;"",IF(WEEKDAY(A21,2)&gt;5,variables!$D$15,""),"")</f>
        <v/>
      </c>
      <c r="E21" s="4" t="str">
        <f>IF(D21="","",variables!$D$17)</f>
        <v/>
      </c>
      <c r="G21" s="1">
        <f>IF(G20&gt;=math!$B$11,"",distribution!G20+1)</f>
        <v>43636</v>
      </c>
      <c r="H21" s="4">
        <f>IF(I21="","",math!$C$3)</f>
        <v>73.333333333333329</v>
      </c>
      <c r="I21" s="4">
        <f>IF(G21&lt;"",IF(G21&gt;variables!$D$10,"",variables!$D$13),"")</f>
        <v>24</v>
      </c>
      <c r="J21" s="4" t="str">
        <f>IF(I21&lt;"",IF(WEEKDAY(G21,2)&gt;5,variables!$D$15,""),"")</f>
        <v/>
      </c>
      <c r="K21" s="4" t="str">
        <f>IF(J21="","",variables!$D$17)</f>
        <v/>
      </c>
    </row>
    <row r="22" spans="1:11" x14ac:dyDescent="0.3">
      <c r="A22" s="1">
        <f>IF(A21&gt;=math!$B$10,"",distribution!A21+1)</f>
        <v>43606</v>
      </c>
      <c r="B22" s="4">
        <f>IF(C22="","",math!$C$2)</f>
        <v>70.967741935483872</v>
      </c>
      <c r="C22" s="4">
        <f>IF(A22&lt;"",IF(A22&lt;variables!$D$9,"",variables!$D$13),"")</f>
        <v>24</v>
      </c>
      <c r="D22" s="4" t="str">
        <f>IF(C22&lt;"",IF(WEEKDAY(A22,2)&gt;5,variables!$D$15,""),"")</f>
        <v/>
      </c>
      <c r="E22" s="4" t="str">
        <f>IF(D22="","",variables!$D$17)</f>
        <v/>
      </c>
      <c r="G22" s="1">
        <f>IF(G21&gt;=math!$B$11,"",distribution!G21+1)</f>
        <v>43637</v>
      </c>
      <c r="H22" s="4">
        <f>IF(I22="","",math!$C$3)</f>
        <v>73.333333333333329</v>
      </c>
      <c r="I22" s="4">
        <f>IF(G22&lt;"",IF(G22&gt;variables!$D$10,"",variables!$D$13),"")</f>
        <v>24</v>
      </c>
      <c r="J22" s="4" t="str">
        <f>IF(I22&lt;"",IF(WEEKDAY(G22,2)&gt;5,variables!$D$15,""),"")</f>
        <v/>
      </c>
      <c r="K22" s="4" t="str">
        <f>IF(J22="","",variables!$D$17)</f>
        <v/>
      </c>
    </row>
    <row r="23" spans="1:11" x14ac:dyDescent="0.3">
      <c r="A23" s="1">
        <f>IF(A22&gt;=math!$B$10,"",distribution!A22+1)</f>
        <v>43607</v>
      </c>
      <c r="B23" s="4">
        <f>IF(C23="","",math!$C$2)</f>
        <v>70.967741935483872</v>
      </c>
      <c r="C23" s="4">
        <f>IF(A23&lt;"",IF(A23&lt;variables!$D$9,"",variables!$D$13),"")</f>
        <v>24</v>
      </c>
      <c r="D23" s="4" t="str">
        <f>IF(C23&lt;"",IF(WEEKDAY(A23,2)&gt;5,variables!$D$15,""),"")</f>
        <v/>
      </c>
      <c r="E23" s="4" t="str">
        <f>IF(D23="","",variables!$D$17)</f>
        <v/>
      </c>
      <c r="G23" s="1">
        <f>IF(G22&gt;=math!$B$11,"",distribution!G22+1)</f>
        <v>43638</v>
      </c>
      <c r="H23" s="4">
        <f>IF(I23="","",math!$C$3)</f>
        <v>73.333333333333329</v>
      </c>
      <c r="I23" s="4">
        <f>IF(G23&lt;"",IF(G23&gt;variables!$D$10,"",variables!$D$13),"")</f>
        <v>24</v>
      </c>
      <c r="J23" s="4">
        <f>IF(I23&lt;"",IF(WEEKDAY(G23,2)&gt;5,variables!$D$15,""),"")</f>
        <v>24</v>
      </c>
      <c r="K23" s="4">
        <f>IF(J23="","",variables!$D$17)</f>
        <v>42</v>
      </c>
    </row>
    <row r="24" spans="1:11" x14ac:dyDescent="0.3">
      <c r="A24" s="1">
        <f>IF(A23&gt;=math!$B$10,"",distribution!A23+1)</f>
        <v>43608</v>
      </c>
      <c r="B24" s="4">
        <f>IF(C24="","",math!$C$2)</f>
        <v>70.967741935483872</v>
      </c>
      <c r="C24" s="4">
        <f>IF(A24&lt;"",IF(A24&lt;variables!$D$9,"",variables!$D$13),"")</f>
        <v>24</v>
      </c>
      <c r="D24" s="4" t="str">
        <f>IF(C24&lt;"",IF(WEEKDAY(A24,2)&gt;5,variables!$D$15,""),"")</f>
        <v/>
      </c>
      <c r="E24" s="4" t="str">
        <f>IF(D24="","",variables!$D$17)</f>
        <v/>
      </c>
      <c r="G24" s="1">
        <f>IF(G23&gt;=math!$B$11,"",distribution!G23+1)</f>
        <v>43639</v>
      </c>
      <c r="H24" s="4">
        <f>IF(I24="","",math!$C$3)</f>
        <v>73.333333333333329</v>
      </c>
      <c r="I24" s="4">
        <f>IF(G24&lt;"",IF(G24&gt;variables!$D$10,"",variables!$D$13),"")</f>
        <v>24</v>
      </c>
      <c r="J24" s="4">
        <f>IF(I24&lt;"",IF(WEEKDAY(G24,2)&gt;5,variables!$D$15,""),"")</f>
        <v>24</v>
      </c>
      <c r="K24" s="4">
        <f>IF(J24="","",variables!$D$17)</f>
        <v>42</v>
      </c>
    </row>
    <row r="25" spans="1:11" x14ac:dyDescent="0.3">
      <c r="A25" s="1">
        <f>IF(A24&gt;=math!$B$10,"",distribution!A24+1)</f>
        <v>43609</v>
      </c>
      <c r="B25" s="4">
        <f>IF(C25="","",math!$C$2)</f>
        <v>70.967741935483872</v>
      </c>
      <c r="C25" s="4">
        <f>IF(A25&lt;"",IF(A25&lt;variables!$D$9,"",variables!$D$13),"")</f>
        <v>24</v>
      </c>
      <c r="D25" s="4" t="str">
        <f>IF(C25&lt;"",IF(WEEKDAY(A25,2)&gt;5,variables!$D$15,""),"")</f>
        <v/>
      </c>
      <c r="E25" s="4" t="str">
        <f>IF(D25="","",variables!$D$17)</f>
        <v/>
      </c>
      <c r="G25" s="1">
        <f>IF(G24&gt;=math!$B$11,"",distribution!G24+1)</f>
        <v>43640</v>
      </c>
      <c r="H25" s="4">
        <f>IF(I25="","",math!$C$3)</f>
        <v>73.333333333333329</v>
      </c>
      <c r="I25" s="4">
        <f>IF(G25&lt;"",IF(G25&gt;variables!$D$10,"",variables!$D$13),"")</f>
        <v>24</v>
      </c>
      <c r="J25" s="4" t="str">
        <f>IF(I25&lt;"",IF(WEEKDAY(G25,2)&gt;5,variables!$D$15,""),"")</f>
        <v/>
      </c>
      <c r="K25" s="4" t="str">
        <f>IF(J25="","",variables!$D$17)</f>
        <v/>
      </c>
    </row>
    <row r="26" spans="1:11" x14ac:dyDescent="0.3">
      <c r="A26" s="1">
        <f>IF(A25&gt;=math!$B$10,"",distribution!A25+1)</f>
        <v>43610</v>
      </c>
      <c r="B26" s="4">
        <f>IF(C26="","",math!$C$2)</f>
        <v>70.967741935483872</v>
      </c>
      <c r="C26" s="4">
        <f>IF(A26&lt;"",IF(A26&lt;variables!$D$9,"",variables!$D$13),"")</f>
        <v>24</v>
      </c>
      <c r="D26" s="4">
        <f>IF(C26&lt;"",IF(WEEKDAY(A26,2)&gt;5,variables!$D$15,""),"")</f>
        <v>24</v>
      </c>
      <c r="E26" s="4">
        <f>IF(D26="","",variables!$D$17)</f>
        <v>42</v>
      </c>
      <c r="G26" s="1">
        <f>IF(G25&gt;=math!$B$11,"",distribution!G25+1)</f>
        <v>43641</v>
      </c>
      <c r="H26" s="4">
        <f>IF(I26="","",math!$C$3)</f>
        <v>73.333333333333329</v>
      </c>
      <c r="I26" s="4">
        <f>IF(G26&lt;"",IF(G26&gt;variables!$D$10,"",variables!$D$13),"")</f>
        <v>24</v>
      </c>
      <c r="J26" s="4" t="str">
        <f>IF(I26&lt;"",IF(WEEKDAY(G26,2)&gt;5,variables!$D$15,""),"")</f>
        <v/>
      </c>
      <c r="K26" s="4" t="str">
        <f>IF(J26="","",variables!$D$17)</f>
        <v/>
      </c>
    </row>
    <row r="27" spans="1:11" x14ac:dyDescent="0.3">
      <c r="A27" s="1">
        <f>IF(A26&gt;=math!$B$10,"",distribution!A26+1)</f>
        <v>43611</v>
      </c>
      <c r="B27" s="4">
        <f>IF(C27="","",math!$C$2)</f>
        <v>70.967741935483872</v>
      </c>
      <c r="C27" s="4">
        <f>IF(A27&lt;"",IF(A27&lt;variables!$D$9,"",variables!$D$13),"")</f>
        <v>24</v>
      </c>
      <c r="D27" s="4">
        <f>IF(C27&lt;"",IF(WEEKDAY(A27,2)&gt;5,variables!$D$15,""),"")</f>
        <v>24</v>
      </c>
      <c r="E27" s="4">
        <f>IF(D27="","",variables!$D$17)</f>
        <v>42</v>
      </c>
      <c r="G27" s="1">
        <f>IF(G26&gt;=math!$B$11,"",distribution!G26+1)</f>
        <v>43642</v>
      </c>
      <c r="H27" s="4">
        <f>IF(I27="","",math!$C$3)</f>
        <v>73.333333333333329</v>
      </c>
      <c r="I27" s="4">
        <f>IF(G27&lt;"",IF(G27&gt;variables!$D$10,"",variables!$D$13),"")</f>
        <v>24</v>
      </c>
      <c r="J27" s="4" t="str">
        <f>IF(I27&lt;"",IF(WEEKDAY(G27,2)&gt;5,variables!$D$15,""),"")</f>
        <v/>
      </c>
      <c r="K27" s="4" t="str">
        <f>IF(J27="","",variables!$D$17)</f>
        <v/>
      </c>
    </row>
    <row r="28" spans="1:11" x14ac:dyDescent="0.3">
      <c r="A28" s="1">
        <f>IF(A27&gt;=math!$B$10,"",distribution!A27+1)</f>
        <v>43612</v>
      </c>
      <c r="B28" s="4">
        <f>IF(C28="","",math!$C$2)</f>
        <v>70.967741935483872</v>
      </c>
      <c r="C28" s="4">
        <f>IF(A28&lt;"",IF(A28&lt;variables!$D$9,"",variables!$D$13),"")</f>
        <v>24</v>
      </c>
      <c r="D28" s="4" t="str">
        <f>IF(C28&lt;"",IF(WEEKDAY(A28,2)&gt;5,variables!$D$15,""),"")</f>
        <v/>
      </c>
      <c r="E28" s="4" t="str">
        <f>IF(D28="","",variables!$D$17)</f>
        <v/>
      </c>
      <c r="G28" s="1">
        <f>IF(G27&gt;=math!$B$11,"",distribution!G27+1)</f>
        <v>43643</v>
      </c>
      <c r="H28" s="4">
        <f>IF(I28="","",math!$C$3)</f>
        <v>73.333333333333329</v>
      </c>
      <c r="I28" s="4">
        <f>IF(G28&lt;"",IF(G28&gt;variables!$D$10,"",variables!$D$13),"")</f>
        <v>24</v>
      </c>
      <c r="J28" s="4" t="str">
        <f>IF(I28&lt;"",IF(WEEKDAY(G28,2)&gt;5,variables!$D$15,""),"")</f>
        <v/>
      </c>
      <c r="K28" s="4" t="str">
        <f>IF(J28="","",variables!$D$17)</f>
        <v/>
      </c>
    </row>
    <row r="29" spans="1:11" x14ac:dyDescent="0.3">
      <c r="A29" s="1">
        <f>IF(A28&gt;=math!$B$10,"",distribution!A28+1)</f>
        <v>43613</v>
      </c>
      <c r="B29" s="4">
        <f>IF(C29="","",math!$C$2)</f>
        <v>70.967741935483872</v>
      </c>
      <c r="C29" s="4">
        <f>IF(A29&lt;"",IF(A29&lt;variables!$D$9,"",variables!$D$13),"")</f>
        <v>24</v>
      </c>
      <c r="D29" s="4" t="str">
        <f>IF(C29&lt;"",IF(WEEKDAY(A29,2)&gt;5,variables!$D$15,""),"")</f>
        <v/>
      </c>
      <c r="E29" s="4" t="str">
        <f>IF(D29="","",variables!$D$17)</f>
        <v/>
      </c>
      <c r="G29" s="1">
        <f>IF(G28&gt;=math!$B$11,"",distribution!G28+1)</f>
        <v>43644</v>
      </c>
      <c r="H29" s="4">
        <f>IF(I29="","",math!$C$3)</f>
        <v>73.333333333333329</v>
      </c>
      <c r="I29" s="4">
        <f>IF(G29&lt;"",IF(G29&gt;variables!$D$10,"",variables!$D$13),"")</f>
        <v>24</v>
      </c>
      <c r="J29" s="4" t="str">
        <f>IF(I29&lt;"",IF(WEEKDAY(G29,2)&gt;5,variables!$D$15,""),"")</f>
        <v/>
      </c>
      <c r="K29" s="4" t="str">
        <f>IF(J29="","",variables!$D$17)</f>
        <v/>
      </c>
    </row>
    <row r="30" spans="1:11" x14ac:dyDescent="0.3">
      <c r="A30" s="1">
        <f>IF(A29&gt;=math!$B$10,"",distribution!A29+1)</f>
        <v>43614</v>
      </c>
      <c r="B30" s="4">
        <f>IF(C30="","",math!$C$2)</f>
        <v>70.967741935483872</v>
      </c>
      <c r="C30" s="4">
        <f>IF(A30&lt;"",IF(A30&lt;variables!$D$9,"",variables!$D$13),"")</f>
        <v>24</v>
      </c>
      <c r="D30" s="4" t="str">
        <f>IF(C30&lt;"",IF(WEEKDAY(A30,2)&gt;5,variables!$D$15,""),"")</f>
        <v/>
      </c>
      <c r="E30" s="4" t="str">
        <f>IF(D30="","",variables!$D$17)</f>
        <v/>
      </c>
      <c r="G30" s="1">
        <f>IF(G29&gt;=math!$B$11,"",distribution!G29+1)</f>
        <v>43645</v>
      </c>
      <c r="H30" s="4">
        <f>IF(I30="","",math!$C$3)</f>
        <v>73.333333333333329</v>
      </c>
      <c r="I30" s="4">
        <f>IF(G30&lt;"",IF(G30&gt;variables!$D$10,"",variables!$D$13),"")</f>
        <v>24</v>
      </c>
      <c r="J30" s="4">
        <f>IF(I30&lt;"",IF(WEEKDAY(G30,2)&gt;5,variables!$D$15,""),"")</f>
        <v>24</v>
      </c>
      <c r="K30" s="4">
        <f>IF(J30="","",variables!$D$17)</f>
        <v>42</v>
      </c>
    </row>
    <row r="31" spans="1:11" x14ac:dyDescent="0.3">
      <c r="A31" s="1">
        <f>IF(A30&gt;=math!$B$10,"",distribution!A30+1)</f>
        <v>43615</v>
      </c>
      <c r="B31" s="4">
        <f>IF(C31="","",math!$C$2)</f>
        <v>70.967741935483872</v>
      </c>
      <c r="C31" s="4">
        <f>IF(A31&lt;"",IF(A31&lt;variables!$D$9,"",variables!$D$13),"")</f>
        <v>24</v>
      </c>
      <c r="D31" s="4" t="str">
        <f>IF(C31&lt;"",IF(WEEKDAY(A31,2)&gt;5,variables!$D$15,""),"")</f>
        <v/>
      </c>
      <c r="E31" s="4" t="str">
        <f>IF(D31="","",variables!$D$17)</f>
        <v/>
      </c>
      <c r="G31" s="1">
        <f>IF(G30&gt;=math!$B$11,"",distribution!G30+1)</f>
        <v>43646</v>
      </c>
      <c r="H31" s="4">
        <f>IF(I31="","",math!$C$3)</f>
        <v>73.333333333333329</v>
      </c>
      <c r="I31" s="4">
        <f>IF(G31&lt;"",IF(G31&gt;variables!$D$10,"",variables!$D$13),"")</f>
        <v>24</v>
      </c>
      <c r="J31" s="4">
        <f>IF(I31&lt;"",IF(WEEKDAY(G31,2)&gt;5,variables!$D$15,""),"")</f>
        <v>24</v>
      </c>
      <c r="K31" s="4">
        <f>IF(J31="","",variables!$D$17)</f>
        <v>42</v>
      </c>
    </row>
    <row r="32" spans="1:11" x14ac:dyDescent="0.3">
      <c r="A32" s="1">
        <f>IF(A31&gt;=math!$B$10,"",distribution!A31+1)</f>
        <v>43616</v>
      </c>
      <c r="B32" s="4">
        <f>IF(C32="","",math!$C$2)</f>
        <v>70.967741935483872</v>
      </c>
      <c r="C32" s="4">
        <f>IF(A32&lt;"",IF(A32&lt;variables!$D$9,"",variables!$D$13),"")</f>
        <v>24</v>
      </c>
      <c r="D32" s="4" t="str">
        <f>IF(C32&lt;"",IF(WEEKDAY(A32,2)&gt;5,variables!$D$15,""),"")</f>
        <v/>
      </c>
      <c r="E32" s="4" t="str">
        <f>IF(D32="","",variables!$D$17)</f>
        <v/>
      </c>
      <c r="G32" s="1" t="str">
        <f>IF(G31&gt;=math!$B$11,"",distribution!G31+1)</f>
        <v/>
      </c>
      <c r="H32" s="4" t="str">
        <f>IF(I32="","",math!$C$3)</f>
        <v/>
      </c>
      <c r="I32" s="4" t="str">
        <f>IF(G32&lt;"",IF(G32&gt;variables!$D$10,"",variables!$D$13),"")</f>
        <v/>
      </c>
      <c r="J32" s="4" t="str">
        <f>IF(I32&lt;"",IF(WEEKDAY(G32,2)&gt;5,variables!$D$15,""),"")</f>
        <v/>
      </c>
      <c r="K32" s="4" t="str">
        <f>IF(J32="","",variables!$D$17)</f>
        <v/>
      </c>
    </row>
    <row r="33" spans="1:11" x14ac:dyDescent="0.3">
      <c r="A33" s="1" t="str">
        <f>IF(A32&gt;=math!$B$10,"",distribution!A32+1)</f>
        <v/>
      </c>
      <c r="B33" s="4" t="str">
        <f>IF(C33="","",math!$C$2)</f>
        <v/>
      </c>
      <c r="C33" s="4" t="str">
        <f>IF(A33&lt;"",IF(A33&lt;variables!$D$9,"",variables!$D$13),"")</f>
        <v/>
      </c>
      <c r="D33" s="4" t="str">
        <f>IF(C33&lt;"",IF(WEEKDAY(A33,2)&gt;5,variables!$D$15,""),"")</f>
        <v/>
      </c>
      <c r="E33" s="4" t="str">
        <f>IF(D33="","",variables!$D$17)</f>
        <v/>
      </c>
      <c r="G33" s="1" t="str">
        <f>IF(G32&gt;=math!$B$11,"",distribution!G32+1)</f>
        <v/>
      </c>
      <c r="H33" s="4" t="str">
        <f>IF(I33="","",math!$C$3)</f>
        <v/>
      </c>
      <c r="I33" s="4" t="str">
        <f>IF(G33&lt;"",IF(G33&gt;variables!$D$10,"",variables!$D$13),"")</f>
        <v/>
      </c>
      <c r="J33" s="4" t="str">
        <f>IF(I33&lt;"",IF(WEEKDAY(G33,2)&gt;5,variables!$D$15,""),"")</f>
        <v/>
      </c>
      <c r="K33" s="4" t="str">
        <f>IF(J33="","",variables!$D$17)</f>
        <v/>
      </c>
    </row>
    <row r="34" spans="1:11" x14ac:dyDescent="0.3">
      <c r="A34" s="1" t="str">
        <f>IF(A33&gt;=math!$B$10,"",distribution!A33+1)</f>
        <v/>
      </c>
      <c r="B34" s="4" t="str">
        <f>IF(C34="","",math!$C$2)</f>
        <v/>
      </c>
      <c r="C34" s="4"/>
      <c r="D34" s="4" t="str">
        <f>IF(C34&lt;"",IF(WEEKDAY(A34,2)&gt;5,variables!$D$15,""),"")</f>
        <v/>
      </c>
      <c r="E34" s="4" t="str">
        <f>IF(D34="","",variables!$D$17)</f>
        <v/>
      </c>
      <c r="G34" s="1" t="str">
        <f>IF(G33&gt;=math!$B$11,"",distribution!G33+1)</f>
        <v/>
      </c>
      <c r="H34" s="4" t="str">
        <f>IF(I34="","",math!$C$3)</f>
        <v/>
      </c>
      <c r="I34" s="4"/>
      <c r="J34" s="4" t="str">
        <f>IF(I34&lt;"",IF(WEEKDAY(G34,2)&gt;5,variables!$D$15,""),"")</f>
        <v/>
      </c>
      <c r="K34" s="4" t="str">
        <f>IF(J34="","",variables!$D$17)</f>
        <v/>
      </c>
    </row>
    <row r="35" spans="1:11" x14ac:dyDescent="0.3">
      <c r="A35" s="1" t="str">
        <f>IF(A34&gt;=math!$B$10,"",distribution!A34+1)</f>
        <v/>
      </c>
      <c r="B35" s="4"/>
      <c r="C35" s="4"/>
      <c r="D35" s="4"/>
      <c r="E35" s="4"/>
      <c r="G35" s="1" t="str">
        <f>IF(G34&gt;=math!$B$11,"",distribution!G34+1)</f>
        <v/>
      </c>
      <c r="H35" s="4"/>
      <c r="I35" s="4"/>
      <c r="J35" s="4"/>
      <c r="K35" s="4" t="str">
        <f>IF(J35="","",variables!$D$17)</f>
        <v/>
      </c>
    </row>
    <row r="36" spans="1:11" x14ac:dyDescent="0.3">
      <c r="B36" s="4"/>
      <c r="C36" s="4"/>
      <c r="D36" s="4"/>
      <c r="E36" s="4"/>
      <c r="G36" s="1"/>
      <c r="H36" s="4"/>
      <c r="I36" s="4"/>
      <c r="J36" s="4"/>
      <c r="K36" s="4"/>
    </row>
    <row r="37" spans="1:11" x14ac:dyDescent="0.3">
      <c r="A37" s="8"/>
      <c r="B37" s="6"/>
      <c r="C37" s="6"/>
      <c r="D37" s="6"/>
      <c r="E37" s="6"/>
      <c r="G37" s="8"/>
      <c r="H37" s="6"/>
      <c r="I37" s="6"/>
      <c r="J37" s="6"/>
      <c r="K37" s="6"/>
    </row>
    <row r="38" spans="1:11" x14ac:dyDescent="0.3">
      <c r="A38" s="10"/>
      <c r="B38" s="4"/>
      <c r="C38" s="136" t="s">
        <v>134</v>
      </c>
      <c r="D38" s="4"/>
      <c r="E38" s="4"/>
      <c r="G38" s="10"/>
      <c r="H38" s="4"/>
      <c r="I38" s="4"/>
      <c r="J38" s="4"/>
      <c r="K38" s="4"/>
    </row>
    <row r="39" spans="1:11" x14ac:dyDescent="0.3">
      <c r="C39" s="137" t="s">
        <v>137</v>
      </c>
    </row>
  </sheetData>
  <sheetProtection algorithmName="SHA-512" hashValue="3cBafW3TpftnKiLXipBB2LTWbOnDeMdCNd/yI1sZpu8Z/2IhQSRU9nCwlrooPdWAdC1kGQoSOh3RM85RJc5pug==" saltValue="zNrP7UecnjY7FDIxpzjp6A==" spinCount="100000" sheet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E94E-C971-40BD-ADE0-FF47408061EC}">
  <dimension ref="B1:T58"/>
  <sheetViews>
    <sheetView showGridLines="0" tabSelected="1" workbookViewId="0">
      <selection activeCell="H32" sqref="H32:J32"/>
    </sheetView>
  </sheetViews>
  <sheetFormatPr defaultRowHeight="14.4" x14ac:dyDescent="0.3"/>
  <cols>
    <col min="1" max="1" width="4.6640625" customWidth="1"/>
    <col min="3" max="3" width="20.5546875" customWidth="1"/>
    <col min="6" max="6" width="10.5546875" customWidth="1"/>
    <col min="7" max="7" width="12.5546875" customWidth="1"/>
    <col min="8" max="8" width="10.88671875" customWidth="1"/>
    <col min="9" max="10" width="6.88671875" customWidth="1"/>
    <col min="11" max="11" width="8.6640625" customWidth="1"/>
    <col min="12" max="12" width="9.109375" customWidth="1"/>
    <col min="13" max="13" width="4.33203125" customWidth="1"/>
    <col min="14" max="14" width="3.5546875" customWidth="1"/>
    <col min="15" max="15" width="3.88671875" customWidth="1"/>
    <col min="16" max="16" width="6.109375" customWidth="1"/>
    <col min="20" max="20" width="9.109375" style="39"/>
  </cols>
  <sheetData>
    <row r="1" spans="2:18" ht="26.25" customHeight="1" x14ac:dyDescent="0.35">
      <c r="B1" s="61" t="s">
        <v>89</v>
      </c>
      <c r="C1" s="61"/>
      <c r="D1" s="61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 t="str">
        <f>TEXT(variables!D10,"mmmm yyyy")</f>
        <v>June 2019</v>
      </c>
    </row>
    <row r="2" spans="2:18" x14ac:dyDescent="0.3">
      <c r="B2" s="34" t="s">
        <v>23</v>
      </c>
      <c r="C2" s="52" t="s">
        <v>19</v>
      </c>
      <c r="D2" s="34" t="s">
        <v>27</v>
      </c>
      <c r="E2" s="34">
        <v>1</v>
      </c>
      <c r="F2" s="34" t="s">
        <v>34</v>
      </c>
      <c r="G2" s="52" t="s">
        <v>35</v>
      </c>
      <c r="H2" s="34" t="s">
        <v>38</v>
      </c>
      <c r="I2" s="52" t="s">
        <v>39</v>
      </c>
      <c r="J2" s="53">
        <v>0</v>
      </c>
      <c r="K2" s="34" t="s">
        <v>40</v>
      </c>
      <c r="L2" s="53">
        <v>0</v>
      </c>
      <c r="M2" s="65" t="s">
        <v>43</v>
      </c>
      <c r="N2" s="65"/>
      <c r="O2" s="111" t="s">
        <v>47</v>
      </c>
      <c r="P2" s="111"/>
      <c r="Q2" s="34" t="s">
        <v>49</v>
      </c>
      <c r="R2" s="34"/>
    </row>
    <row r="3" spans="2:18" x14ac:dyDescent="0.3">
      <c r="B3" s="34" t="s">
        <v>24</v>
      </c>
      <c r="C3" s="52" t="s">
        <v>20</v>
      </c>
      <c r="D3" s="34" t="s">
        <v>28</v>
      </c>
      <c r="E3" s="54">
        <v>0</v>
      </c>
      <c r="F3" s="34" t="s">
        <v>33</v>
      </c>
      <c r="G3" s="52" t="s">
        <v>35</v>
      </c>
      <c r="H3" s="34" t="s">
        <v>36</v>
      </c>
      <c r="I3" s="62" t="s">
        <v>42</v>
      </c>
      <c r="J3" s="62"/>
      <c r="K3" s="34" t="s">
        <v>41</v>
      </c>
      <c r="L3" s="53">
        <v>48</v>
      </c>
      <c r="M3" s="65" t="s">
        <v>44</v>
      </c>
      <c r="N3" s="65"/>
      <c r="O3" s="62" t="s">
        <v>48</v>
      </c>
      <c r="P3" s="62"/>
      <c r="Q3" s="34" t="s">
        <v>50</v>
      </c>
      <c r="R3" s="34">
        <v>0</v>
      </c>
    </row>
    <row r="4" spans="2:18" x14ac:dyDescent="0.3">
      <c r="B4" s="34" t="s">
        <v>25</v>
      </c>
      <c r="C4" s="52" t="s">
        <v>21</v>
      </c>
      <c r="D4" s="34" t="s">
        <v>29</v>
      </c>
      <c r="E4" s="34" t="s">
        <v>30</v>
      </c>
      <c r="F4" s="34" t="s">
        <v>32</v>
      </c>
      <c r="G4" s="52" t="s">
        <v>35</v>
      </c>
      <c r="H4" s="34" t="s">
        <v>36</v>
      </c>
      <c r="I4" s="63" t="s">
        <v>119</v>
      </c>
      <c r="J4" s="63"/>
      <c r="K4" s="63"/>
      <c r="L4" s="63"/>
      <c r="M4" s="65" t="s">
        <v>45</v>
      </c>
      <c r="N4" s="65"/>
      <c r="O4" s="62" t="s">
        <v>48</v>
      </c>
      <c r="P4" s="62"/>
      <c r="Q4" s="34" t="s">
        <v>51</v>
      </c>
      <c r="R4" s="34">
        <v>101</v>
      </c>
    </row>
    <row r="5" spans="2:18" x14ac:dyDescent="0.3">
      <c r="B5" s="34" t="s">
        <v>26</v>
      </c>
      <c r="C5" s="62" t="s">
        <v>22</v>
      </c>
      <c r="D5" s="62"/>
      <c r="E5" s="55">
        <v>0.155</v>
      </c>
      <c r="F5" s="34" t="s">
        <v>31</v>
      </c>
      <c r="G5" s="52" t="s">
        <v>35</v>
      </c>
      <c r="H5" s="34" t="s">
        <v>37</v>
      </c>
      <c r="I5" s="63"/>
      <c r="J5" s="63"/>
      <c r="K5" s="63"/>
      <c r="L5" s="63"/>
      <c r="M5" s="65" t="s">
        <v>46</v>
      </c>
      <c r="N5" s="65"/>
      <c r="O5" s="62" t="s">
        <v>48</v>
      </c>
      <c r="P5" s="62"/>
      <c r="Q5" s="34" t="s">
        <v>52</v>
      </c>
      <c r="R5" s="34"/>
    </row>
    <row r="6" spans="2:18" x14ac:dyDescent="0.3">
      <c r="I6" s="49" t="s">
        <v>53</v>
      </c>
      <c r="J6" s="49"/>
      <c r="K6" s="51" t="str">
        <f>CONCATENATE("St ",math!B14," / 1")</f>
        <v>St 30 / 1</v>
      </c>
      <c r="L6" s="51" t="str">
        <f>CONCATENATE("KV ",math!B14," / 1")</f>
        <v>KV 30 / 1</v>
      </c>
      <c r="M6" s="113" t="str">
        <f>CONCATENATE("RV ",math!B14," / 1")</f>
        <v>RV 30 / 1</v>
      </c>
      <c r="N6" s="113"/>
      <c r="O6" s="113"/>
      <c r="P6" s="113" t="str">
        <f>CONCATENATE("AV ",math!B14," / 1")</f>
        <v>AV 30 / 1</v>
      </c>
      <c r="Q6" s="113"/>
      <c r="R6" s="51" t="str">
        <f>CONCATENATE("PV ",math!B14," / 1")</f>
        <v>PV 30 / 1</v>
      </c>
    </row>
    <row r="7" spans="2:18" x14ac:dyDescent="0.3">
      <c r="I7" s="114"/>
      <c r="J7" s="114"/>
      <c r="K7" s="114" t="s">
        <v>54</v>
      </c>
      <c r="L7" s="114"/>
      <c r="M7" s="114"/>
      <c r="N7" s="114"/>
      <c r="O7" s="114"/>
      <c r="P7" s="114"/>
      <c r="Q7" s="114"/>
      <c r="R7" s="114"/>
    </row>
    <row r="8" spans="2:18" x14ac:dyDescent="0.3">
      <c r="C8" s="26" t="s">
        <v>90</v>
      </c>
      <c r="I8" s="28"/>
      <c r="J8" s="32" t="s">
        <v>55</v>
      </c>
      <c r="K8" s="32"/>
      <c r="L8" s="32"/>
      <c r="M8" s="32"/>
      <c r="N8" s="32"/>
      <c r="O8" s="32"/>
      <c r="P8" s="32"/>
      <c r="Q8" s="95">
        <v>0</v>
      </c>
      <c r="R8" s="96"/>
    </row>
    <row r="9" spans="2:18" x14ac:dyDescent="0.3">
      <c r="I9" s="23"/>
      <c r="J9" s="39" t="s">
        <v>120</v>
      </c>
      <c r="K9" s="39"/>
      <c r="L9" s="39"/>
      <c r="M9" s="39"/>
      <c r="N9" s="39"/>
      <c r="O9" s="39"/>
      <c r="P9" s="39"/>
      <c r="Q9" s="97">
        <v>0</v>
      </c>
      <c r="R9" s="98"/>
    </row>
    <row r="10" spans="2:18" x14ac:dyDescent="0.3">
      <c r="I10" s="23"/>
      <c r="J10" s="39" t="s">
        <v>121</v>
      </c>
      <c r="K10" s="39"/>
      <c r="L10" s="39"/>
      <c r="M10" s="39"/>
      <c r="N10" s="39"/>
      <c r="O10" s="39"/>
      <c r="P10" s="39"/>
      <c r="Q10" s="97">
        <v>0</v>
      </c>
      <c r="R10" s="98"/>
    </row>
    <row r="11" spans="2:18" x14ac:dyDescent="0.3">
      <c r="C11" s="135" t="s">
        <v>60</v>
      </c>
      <c r="I11" s="23"/>
      <c r="J11" s="39" t="s">
        <v>56</v>
      </c>
      <c r="K11" s="39"/>
      <c r="L11" s="39"/>
      <c r="M11" s="39"/>
      <c r="N11" s="39"/>
      <c r="O11" s="39"/>
      <c r="P11" s="39"/>
      <c r="Q11" s="97">
        <v>0</v>
      </c>
      <c r="R11" s="98"/>
    </row>
    <row r="12" spans="2:18" x14ac:dyDescent="0.3">
      <c r="C12" s="135" t="s">
        <v>61</v>
      </c>
      <c r="I12" s="23"/>
      <c r="J12" s="39" t="s">
        <v>57</v>
      </c>
      <c r="K12" s="39"/>
      <c r="L12" s="39"/>
      <c r="M12" s="39"/>
      <c r="N12" s="39"/>
      <c r="O12" s="39"/>
      <c r="P12" s="39"/>
      <c r="Q12" s="97">
        <v>0</v>
      </c>
      <c r="R12" s="98"/>
    </row>
    <row r="13" spans="2:18" x14ac:dyDescent="0.3">
      <c r="C13" s="135" t="s">
        <v>62</v>
      </c>
      <c r="I13" s="23"/>
      <c r="J13" s="39" t="s">
        <v>58</v>
      </c>
      <c r="K13" s="39"/>
      <c r="L13" s="39"/>
      <c r="M13" s="39"/>
      <c r="N13" s="39"/>
      <c r="O13" s="39"/>
      <c r="P13" s="39"/>
      <c r="Q13" s="97">
        <v>0</v>
      </c>
      <c r="R13" s="98"/>
    </row>
    <row r="14" spans="2:18" x14ac:dyDescent="0.3">
      <c r="C14" s="135" t="s">
        <v>63</v>
      </c>
      <c r="I14" s="30"/>
      <c r="J14" s="33" t="s">
        <v>59</v>
      </c>
      <c r="K14" s="33"/>
      <c r="L14" s="33"/>
      <c r="M14" s="33"/>
      <c r="N14" s="33"/>
      <c r="O14" s="33"/>
      <c r="P14" s="33"/>
      <c r="Q14" s="99">
        <v>0</v>
      </c>
      <c r="R14" s="100"/>
    </row>
    <row r="15" spans="2:18" x14ac:dyDescent="0.3">
      <c r="I15" s="112" t="s">
        <v>116</v>
      </c>
      <c r="J15" s="112"/>
      <c r="K15" s="112"/>
      <c r="L15" s="112"/>
      <c r="M15" s="115" t="s">
        <v>114</v>
      </c>
      <c r="N15" s="115"/>
      <c r="O15" s="115"/>
      <c r="P15" s="115"/>
      <c r="Q15" s="115" t="s">
        <v>115</v>
      </c>
      <c r="R15" s="115"/>
    </row>
    <row r="16" spans="2:18" x14ac:dyDescent="0.3">
      <c r="I16" s="56">
        <v>23</v>
      </c>
      <c r="J16" s="65" t="s">
        <v>122</v>
      </c>
      <c r="K16" s="65"/>
      <c r="L16" s="65"/>
      <c r="M16" s="101"/>
      <c r="N16" s="101"/>
      <c r="O16" s="101"/>
      <c r="P16" s="101"/>
      <c r="Q16" s="101"/>
      <c r="R16" s="101"/>
    </row>
    <row r="17" spans="2:18" x14ac:dyDescent="0.3">
      <c r="I17" s="34">
        <v>15</v>
      </c>
      <c r="J17" s="65" t="s">
        <v>117</v>
      </c>
      <c r="K17" s="65"/>
      <c r="L17" s="65"/>
      <c r="M17" s="101"/>
      <c r="N17" s="101"/>
      <c r="O17" s="101"/>
      <c r="P17" s="101"/>
      <c r="Q17" s="101"/>
      <c r="R17" s="101"/>
    </row>
    <row r="18" spans="2:18" x14ac:dyDescent="0.3">
      <c r="B18" s="46" t="s">
        <v>64</v>
      </c>
      <c r="C18" s="71" t="s">
        <v>65</v>
      </c>
      <c r="D18" s="64"/>
      <c r="E18" s="64"/>
      <c r="F18" s="72"/>
      <c r="G18" s="64" t="s">
        <v>66</v>
      </c>
      <c r="H18" s="64"/>
      <c r="I18" s="71" t="s">
        <v>67</v>
      </c>
      <c r="J18" s="72"/>
      <c r="K18" s="47" t="s">
        <v>68</v>
      </c>
      <c r="L18" s="34" t="s">
        <v>69</v>
      </c>
      <c r="M18" s="64" t="s">
        <v>71</v>
      </c>
      <c r="N18" s="64"/>
      <c r="O18" s="50" t="s">
        <v>70</v>
      </c>
      <c r="P18" s="48" t="s">
        <v>72</v>
      </c>
      <c r="Q18" s="71" t="s">
        <v>73</v>
      </c>
      <c r="R18" s="72"/>
    </row>
    <row r="19" spans="2:18" x14ac:dyDescent="0.3">
      <c r="B19" s="45">
        <v>101</v>
      </c>
      <c r="C19" s="73" t="s">
        <v>74</v>
      </c>
      <c r="D19" s="74"/>
      <c r="E19" s="74"/>
      <c r="F19" s="75"/>
      <c r="G19" s="120">
        <f>math!B14-math!B3</f>
        <v>0</v>
      </c>
      <c r="H19" s="121"/>
      <c r="I19" s="120">
        <f>math!C3</f>
        <v>73.333333333333329</v>
      </c>
      <c r="J19" s="121"/>
      <c r="K19" s="39"/>
      <c r="L19" s="40"/>
      <c r="M19" s="77" t="s">
        <v>118</v>
      </c>
      <c r="N19" s="77"/>
      <c r="O19" s="40">
        <v>1</v>
      </c>
      <c r="P19" s="39">
        <v>1</v>
      </c>
      <c r="Q19" s="116">
        <f>G19*I19</f>
        <v>0</v>
      </c>
      <c r="R19" s="117"/>
    </row>
    <row r="20" spans="2:18" x14ac:dyDescent="0.3">
      <c r="B20" s="45">
        <v>101</v>
      </c>
      <c r="C20" s="73" t="s">
        <v>74</v>
      </c>
      <c r="D20" s="74"/>
      <c r="E20" s="74"/>
      <c r="F20" s="75"/>
      <c r="G20" s="69">
        <f>COUNTIF(distribution!H2:H32,"&gt;0")</f>
        <v>30</v>
      </c>
      <c r="H20" s="70"/>
      <c r="I20" s="69">
        <f>math!C3</f>
        <v>73.333333333333329</v>
      </c>
      <c r="J20" s="70"/>
      <c r="K20" s="39"/>
      <c r="L20" s="40"/>
      <c r="M20" s="77" t="s">
        <v>118</v>
      </c>
      <c r="N20" s="77"/>
      <c r="O20" s="40">
        <v>1</v>
      </c>
      <c r="P20" s="39">
        <v>1</v>
      </c>
      <c r="Q20" s="90">
        <f>G20*I20</f>
        <v>2200</v>
      </c>
      <c r="R20" s="91"/>
    </row>
    <row r="21" spans="2:18" x14ac:dyDescent="0.3">
      <c r="B21" s="45">
        <v>107</v>
      </c>
      <c r="C21" s="73" t="s">
        <v>123</v>
      </c>
      <c r="D21" s="74"/>
      <c r="E21" s="74"/>
      <c r="F21" s="75"/>
      <c r="G21" s="69">
        <f>COUNTIF(distribution!E16:E33,"&gt;0")+COUNTIF(distribution!K2:K15,"&gt;0")</f>
        <v>8</v>
      </c>
      <c r="H21" s="70"/>
      <c r="I21" s="69">
        <f>variables!D17</f>
        <v>42</v>
      </c>
      <c r="J21" s="70"/>
      <c r="K21" s="39"/>
      <c r="L21" s="40"/>
      <c r="M21" s="77" t="s">
        <v>118</v>
      </c>
      <c r="N21" s="77"/>
      <c r="O21" s="40">
        <v>1</v>
      </c>
      <c r="P21" s="39">
        <v>1</v>
      </c>
      <c r="Q21" s="90">
        <f t="shared" ref="Q21:Q29" si="0">G21*I21</f>
        <v>336</v>
      </c>
      <c r="R21" s="91"/>
    </row>
    <row r="22" spans="2:18" x14ac:dyDescent="0.3">
      <c r="B22" s="45">
        <v>111</v>
      </c>
      <c r="C22" s="73" t="s">
        <v>124</v>
      </c>
      <c r="D22" s="74"/>
      <c r="E22" s="74"/>
      <c r="F22" s="75"/>
      <c r="G22" s="69">
        <v>1</v>
      </c>
      <c r="H22" s="70"/>
      <c r="I22" s="69">
        <v>25</v>
      </c>
      <c r="J22" s="70"/>
      <c r="K22" s="39"/>
      <c r="L22" s="40"/>
      <c r="M22" s="77" t="s">
        <v>118</v>
      </c>
      <c r="N22" s="77"/>
      <c r="O22" s="40">
        <v>1</v>
      </c>
      <c r="P22" s="39">
        <v>1</v>
      </c>
      <c r="Q22" s="90">
        <f t="shared" si="0"/>
        <v>25</v>
      </c>
      <c r="R22" s="91"/>
    </row>
    <row r="23" spans="2:18" x14ac:dyDescent="0.3">
      <c r="B23" s="45">
        <v>112</v>
      </c>
      <c r="C23" s="73" t="s">
        <v>75</v>
      </c>
      <c r="D23" s="74"/>
      <c r="E23" s="74"/>
      <c r="F23" s="75"/>
      <c r="G23" s="69">
        <f>COUNTIF(distribution!D16:D33,"&gt;0")+COUNTIF(distribution!J2:J15,"&gt;0")</f>
        <v>8</v>
      </c>
      <c r="H23" s="70"/>
      <c r="I23" s="69">
        <f>variables!D16</f>
        <v>24</v>
      </c>
      <c r="J23" s="70"/>
      <c r="K23" s="39"/>
      <c r="L23" s="40"/>
      <c r="M23" s="77" t="s">
        <v>118</v>
      </c>
      <c r="N23" s="77"/>
      <c r="O23" s="40"/>
      <c r="P23" s="39"/>
      <c r="Q23" s="90">
        <f t="shared" si="0"/>
        <v>192</v>
      </c>
      <c r="R23" s="91"/>
    </row>
    <row r="24" spans="2:18" x14ac:dyDescent="0.3">
      <c r="B24" s="45">
        <v>113</v>
      </c>
      <c r="C24" s="73" t="s">
        <v>76</v>
      </c>
      <c r="D24" s="74"/>
      <c r="E24" s="74"/>
      <c r="F24" s="75"/>
      <c r="G24" s="69">
        <f>COUNTIF(distribution!C16:C33,"&gt;0")+COUNTIF(distribution!I2:I15,"&gt;0")</f>
        <v>31</v>
      </c>
      <c r="H24" s="70"/>
      <c r="I24" s="69">
        <f>variables!D13</f>
        <v>24</v>
      </c>
      <c r="J24" s="70"/>
      <c r="K24" s="39"/>
      <c r="L24" s="40"/>
      <c r="M24" s="77" t="s">
        <v>118</v>
      </c>
      <c r="N24" s="77"/>
      <c r="O24" s="40"/>
      <c r="P24" s="39"/>
      <c r="Q24" s="90">
        <f t="shared" si="0"/>
        <v>744</v>
      </c>
      <c r="R24" s="91"/>
    </row>
    <row r="25" spans="2:18" x14ac:dyDescent="0.3">
      <c r="B25" s="23"/>
      <c r="C25" s="76"/>
      <c r="D25" s="77"/>
      <c r="E25" s="77"/>
      <c r="F25" s="78"/>
      <c r="G25" s="69"/>
      <c r="H25" s="70"/>
      <c r="I25" s="69"/>
      <c r="J25" s="70"/>
      <c r="K25" s="39"/>
      <c r="L25" s="40"/>
      <c r="M25" s="77"/>
      <c r="N25" s="77"/>
      <c r="O25" s="40"/>
      <c r="P25" s="39"/>
      <c r="Q25" s="90">
        <f t="shared" si="0"/>
        <v>0</v>
      </c>
      <c r="R25" s="91"/>
    </row>
    <row r="26" spans="2:18" x14ac:dyDescent="0.3">
      <c r="B26" s="23"/>
      <c r="C26" s="76"/>
      <c r="D26" s="77"/>
      <c r="E26" s="77"/>
      <c r="F26" s="78"/>
      <c r="G26" s="69"/>
      <c r="H26" s="70"/>
      <c r="I26" s="69"/>
      <c r="J26" s="70"/>
      <c r="K26" s="39"/>
      <c r="L26" s="40"/>
      <c r="M26" s="77"/>
      <c r="N26" s="77"/>
      <c r="O26" s="40"/>
      <c r="P26" s="39"/>
      <c r="Q26" s="90">
        <f t="shared" si="0"/>
        <v>0</v>
      </c>
      <c r="R26" s="91"/>
    </row>
    <row r="27" spans="2:18" x14ac:dyDescent="0.3">
      <c r="B27" s="23"/>
      <c r="C27" s="76"/>
      <c r="D27" s="77"/>
      <c r="E27" s="77"/>
      <c r="F27" s="78"/>
      <c r="G27" s="69"/>
      <c r="H27" s="70"/>
      <c r="I27" s="69"/>
      <c r="J27" s="70"/>
      <c r="K27" s="39"/>
      <c r="L27" s="40"/>
      <c r="M27" s="77"/>
      <c r="N27" s="77"/>
      <c r="O27" s="40"/>
      <c r="P27" s="39"/>
      <c r="Q27" s="90">
        <f t="shared" si="0"/>
        <v>0</v>
      </c>
      <c r="R27" s="91"/>
    </row>
    <row r="28" spans="2:18" x14ac:dyDescent="0.3">
      <c r="B28" s="23"/>
      <c r="C28" s="76"/>
      <c r="D28" s="77"/>
      <c r="E28" s="77"/>
      <c r="F28" s="78"/>
      <c r="G28" s="69"/>
      <c r="H28" s="70"/>
      <c r="I28" s="69"/>
      <c r="J28" s="70"/>
      <c r="K28" s="39"/>
      <c r="L28" s="40"/>
      <c r="M28" s="77"/>
      <c r="N28" s="77"/>
      <c r="O28" s="40"/>
      <c r="P28" s="39"/>
      <c r="Q28" s="90">
        <f t="shared" si="0"/>
        <v>0</v>
      </c>
      <c r="R28" s="91"/>
    </row>
    <row r="29" spans="2:18" x14ac:dyDescent="0.3">
      <c r="B29" s="38"/>
      <c r="C29" s="79"/>
      <c r="D29" s="80"/>
      <c r="E29" s="80"/>
      <c r="F29" s="81"/>
      <c r="G29" s="118"/>
      <c r="H29" s="119"/>
      <c r="I29" s="118"/>
      <c r="J29" s="119"/>
      <c r="K29" s="33"/>
      <c r="L29" s="49"/>
      <c r="M29" s="80"/>
      <c r="N29" s="80"/>
      <c r="O29" s="49"/>
      <c r="P29" s="33"/>
      <c r="Q29" s="66">
        <f t="shared" si="0"/>
        <v>0</v>
      </c>
      <c r="R29" s="67"/>
    </row>
    <row r="30" spans="2:18" x14ac:dyDescent="0.3">
      <c r="B30" s="25"/>
      <c r="G30" s="25"/>
      <c r="H30" s="25"/>
      <c r="L30" s="106" t="s">
        <v>100</v>
      </c>
      <c r="M30" s="106"/>
      <c r="N30" s="106"/>
      <c r="O30" s="106"/>
      <c r="P30" s="106"/>
      <c r="Q30" s="127">
        <f>IF(MONTH(variables!D10)&gt;6," ",SUM(Q20:R29))</f>
        <v>3497</v>
      </c>
      <c r="R30" s="128"/>
    </row>
    <row r="31" spans="2:18" x14ac:dyDescent="0.3">
      <c r="B31" s="25"/>
      <c r="G31" s="25"/>
      <c r="H31" s="25"/>
      <c r="L31" s="106"/>
      <c r="M31" s="106"/>
      <c r="N31" s="106"/>
      <c r="O31" s="106"/>
      <c r="P31" s="106"/>
      <c r="Q31" s="127"/>
      <c r="R31" s="128"/>
    </row>
    <row r="32" spans="2:18" x14ac:dyDescent="0.3">
      <c r="B32" s="93" t="s">
        <v>113</v>
      </c>
      <c r="C32" s="41" t="s">
        <v>77</v>
      </c>
      <c r="D32" s="87" t="s">
        <v>80</v>
      </c>
      <c r="E32" s="88"/>
      <c r="F32" s="122" t="s">
        <v>81</v>
      </c>
      <c r="G32" s="122"/>
      <c r="H32" s="125" t="s">
        <v>105</v>
      </c>
      <c r="I32" s="122"/>
      <c r="J32" s="126"/>
      <c r="K32" s="123"/>
      <c r="L32" s="123"/>
      <c r="M32" s="93"/>
      <c r="N32" s="123"/>
      <c r="O32" s="123"/>
      <c r="P32" s="124"/>
      <c r="Q32" s="122" t="s">
        <v>87</v>
      </c>
      <c r="R32" s="126"/>
    </row>
    <row r="33" spans="2:18" x14ac:dyDescent="0.3">
      <c r="B33" s="76"/>
      <c r="C33" s="42">
        <f>Q30-Q22-Q23-Q24</f>
        <v>2536</v>
      </c>
      <c r="D33" s="90">
        <f>C33*(VLOOKUP(C33,variables!B25:F36,3))</f>
        <v>319.13</v>
      </c>
      <c r="E33" s="91"/>
      <c r="F33" s="89">
        <v>0</v>
      </c>
      <c r="G33" s="89"/>
      <c r="H33" s="90">
        <f>D33*5.5%</f>
        <v>17.552150000000001</v>
      </c>
      <c r="I33" s="89"/>
      <c r="J33" s="91"/>
      <c r="K33" s="77"/>
      <c r="L33" s="77"/>
      <c r="M33" s="76"/>
      <c r="N33" s="77"/>
      <c r="O33" s="77"/>
      <c r="P33" s="78"/>
      <c r="Q33" s="132">
        <f>H33+D33</f>
        <v>336.68214999999998</v>
      </c>
      <c r="R33" s="128"/>
    </row>
    <row r="34" spans="2:18" x14ac:dyDescent="0.3">
      <c r="B34" s="79"/>
      <c r="C34" s="44">
        <v>0</v>
      </c>
      <c r="D34" s="66">
        <v>0</v>
      </c>
      <c r="E34" s="67"/>
      <c r="F34" s="68">
        <v>0</v>
      </c>
      <c r="G34" s="68"/>
      <c r="H34" s="66">
        <v>0</v>
      </c>
      <c r="I34" s="68"/>
      <c r="J34" s="67"/>
      <c r="K34" s="80"/>
      <c r="L34" s="80"/>
      <c r="M34" s="79"/>
      <c r="N34" s="80"/>
      <c r="O34" s="80"/>
      <c r="P34" s="81"/>
      <c r="Q34" s="133"/>
      <c r="R34" s="105"/>
    </row>
    <row r="35" spans="2:18" x14ac:dyDescent="0.3">
      <c r="B35" s="93" t="s">
        <v>113</v>
      </c>
      <c r="C35" s="43" t="s">
        <v>78</v>
      </c>
      <c r="D35" s="84" t="s">
        <v>79</v>
      </c>
      <c r="E35" s="85"/>
      <c r="F35" s="92" t="s">
        <v>82</v>
      </c>
      <c r="G35" s="92"/>
      <c r="H35" s="84" t="s">
        <v>83</v>
      </c>
      <c r="I35" s="92"/>
      <c r="J35" s="85"/>
      <c r="K35" s="92" t="s">
        <v>84</v>
      </c>
      <c r="L35" s="92"/>
      <c r="M35" s="125" t="s">
        <v>85</v>
      </c>
      <c r="N35" s="122"/>
      <c r="O35" s="122"/>
      <c r="P35" s="126"/>
      <c r="Q35" s="92" t="s">
        <v>86</v>
      </c>
      <c r="R35" s="85"/>
    </row>
    <row r="36" spans="2:18" x14ac:dyDescent="0.3">
      <c r="B36" s="76"/>
      <c r="C36" s="42">
        <f>C33</f>
        <v>2536</v>
      </c>
      <c r="D36" s="90">
        <f>C33</f>
        <v>2536</v>
      </c>
      <c r="E36" s="91"/>
      <c r="F36" s="89">
        <f>(20.07%*C36)/2</f>
        <v>254.48759999999999</v>
      </c>
      <c r="G36" s="89"/>
      <c r="H36" s="90">
        <f>(19.6%*D36)/2</f>
        <v>248.52800000000002</v>
      </c>
      <c r="I36" s="89"/>
      <c r="J36" s="91"/>
      <c r="K36" s="89">
        <f>(3%*D36)/2</f>
        <v>38.04</v>
      </c>
      <c r="L36" s="89"/>
      <c r="M36" s="90">
        <f>(3%*C36)/2</f>
        <v>38.04</v>
      </c>
      <c r="N36" s="89"/>
      <c r="O36" s="89"/>
      <c r="P36" s="91"/>
      <c r="Q36" s="132">
        <f>M36+K36+H36+F36</f>
        <v>579.09559999999999</v>
      </c>
      <c r="R36" s="128"/>
    </row>
    <row r="37" spans="2:18" x14ac:dyDescent="0.3">
      <c r="B37" s="79"/>
      <c r="C37" s="44">
        <v>0</v>
      </c>
      <c r="D37" s="66">
        <v>0</v>
      </c>
      <c r="E37" s="67"/>
      <c r="F37" s="68">
        <v>0</v>
      </c>
      <c r="G37" s="68"/>
      <c r="H37" s="66">
        <v>0</v>
      </c>
      <c r="I37" s="68"/>
      <c r="J37" s="67"/>
      <c r="K37" s="68">
        <v>0</v>
      </c>
      <c r="L37" s="68"/>
      <c r="M37" s="66">
        <v>0</v>
      </c>
      <c r="N37" s="68"/>
      <c r="O37" s="68"/>
      <c r="P37" s="67"/>
      <c r="Q37" s="133"/>
      <c r="R37" s="105"/>
    </row>
    <row r="38" spans="2:18" x14ac:dyDescent="0.3">
      <c r="B38" s="9" t="s">
        <v>88</v>
      </c>
      <c r="L38" s="129" t="s">
        <v>91</v>
      </c>
      <c r="M38" s="129"/>
      <c r="N38" s="129"/>
      <c r="O38" s="129"/>
      <c r="P38" s="129"/>
      <c r="Q38" s="130">
        <f>Q30-(Q33+Q36)</f>
        <v>2581.2222499999998</v>
      </c>
      <c r="R38" s="131"/>
    </row>
    <row r="39" spans="2:18" x14ac:dyDescent="0.3">
      <c r="B39" s="34" t="s">
        <v>64</v>
      </c>
      <c r="C39" s="65" t="s">
        <v>65</v>
      </c>
      <c r="D39" s="65"/>
      <c r="E39" s="65"/>
      <c r="F39" s="65"/>
      <c r="G39" s="65" t="s">
        <v>66</v>
      </c>
      <c r="H39" s="65"/>
      <c r="I39" s="65" t="s">
        <v>67</v>
      </c>
      <c r="J39" s="65"/>
      <c r="K39" s="65" t="s">
        <v>68</v>
      </c>
      <c r="L39" s="65"/>
      <c r="M39" s="65" t="s">
        <v>69</v>
      </c>
      <c r="N39" s="65"/>
      <c r="O39" s="63"/>
      <c r="P39" s="63"/>
      <c r="Q39" s="65" t="s">
        <v>73</v>
      </c>
      <c r="R39" s="65"/>
    </row>
    <row r="40" spans="2:18" x14ac:dyDescent="0.3">
      <c r="B40" s="37">
        <v>9901</v>
      </c>
      <c r="C40" s="73" t="s">
        <v>112</v>
      </c>
      <c r="D40" s="74"/>
      <c r="E40" s="74"/>
      <c r="F40" s="75"/>
      <c r="G40" s="69">
        <v>1</v>
      </c>
      <c r="H40" s="70"/>
      <c r="I40" s="69">
        <v>0</v>
      </c>
      <c r="J40" s="70"/>
      <c r="K40" s="76"/>
      <c r="L40" s="78"/>
      <c r="M40" s="76"/>
      <c r="N40" s="78"/>
      <c r="O40" s="76"/>
      <c r="P40" s="78"/>
      <c r="Q40" s="90">
        <f>G40*I40</f>
        <v>0</v>
      </c>
      <c r="R40" s="91"/>
    </row>
    <row r="41" spans="2:18" x14ac:dyDescent="0.3">
      <c r="B41" s="35"/>
      <c r="C41" s="76"/>
      <c r="D41" s="77"/>
      <c r="E41" s="77"/>
      <c r="F41" s="78"/>
      <c r="G41" s="76"/>
      <c r="H41" s="78"/>
      <c r="I41" s="76"/>
      <c r="J41" s="78"/>
      <c r="K41" s="76"/>
      <c r="L41" s="78"/>
      <c r="M41" s="76"/>
      <c r="N41" s="78"/>
      <c r="O41" s="76"/>
      <c r="P41" s="78"/>
      <c r="Q41" s="76"/>
      <c r="R41" s="78"/>
    </row>
    <row r="42" spans="2:18" x14ac:dyDescent="0.3">
      <c r="B42" s="35"/>
      <c r="C42" s="76"/>
      <c r="D42" s="77"/>
      <c r="E42" s="77"/>
      <c r="F42" s="78"/>
      <c r="G42" s="76"/>
      <c r="H42" s="78"/>
      <c r="I42" s="76"/>
      <c r="J42" s="78"/>
      <c r="K42" s="76"/>
      <c r="L42" s="78"/>
      <c r="M42" s="76"/>
      <c r="N42" s="78"/>
      <c r="O42" s="76"/>
      <c r="P42" s="78"/>
      <c r="Q42" s="76"/>
      <c r="R42" s="78"/>
    </row>
    <row r="43" spans="2:18" x14ac:dyDescent="0.3">
      <c r="B43" s="36"/>
      <c r="C43" s="79"/>
      <c r="D43" s="80"/>
      <c r="E43" s="80"/>
      <c r="F43" s="81"/>
      <c r="G43" s="79"/>
      <c r="H43" s="81"/>
      <c r="I43" s="79"/>
      <c r="J43" s="81"/>
      <c r="K43" s="79"/>
      <c r="L43" s="81"/>
      <c r="M43" s="79"/>
      <c r="N43" s="81"/>
      <c r="O43" s="79"/>
      <c r="P43" s="81"/>
      <c r="Q43" s="79"/>
      <c r="R43" s="81"/>
    </row>
    <row r="44" spans="2:18" x14ac:dyDescent="0.3">
      <c r="B44" t="s">
        <v>92</v>
      </c>
      <c r="C44" s="135" t="s">
        <v>61</v>
      </c>
      <c r="F44" t="s">
        <v>95</v>
      </c>
      <c r="J44" s="108" t="s">
        <v>98</v>
      </c>
      <c r="K44" s="108"/>
      <c r="L44" s="108"/>
      <c r="M44" s="108"/>
      <c r="N44" s="108"/>
      <c r="O44" s="108"/>
      <c r="P44" s="109"/>
      <c r="Q44" s="102">
        <f>SUM(Q40:R43)</f>
        <v>0</v>
      </c>
      <c r="R44" s="103"/>
    </row>
    <row r="45" spans="2:18" x14ac:dyDescent="0.3">
      <c r="B45" t="s">
        <v>93</v>
      </c>
      <c r="C45" s="135" t="s">
        <v>109</v>
      </c>
      <c r="F45" t="s">
        <v>96</v>
      </c>
      <c r="J45" s="110"/>
      <c r="K45" s="110"/>
      <c r="L45" s="110"/>
      <c r="M45" s="110"/>
      <c r="N45" s="110"/>
      <c r="O45" s="110"/>
      <c r="P45" s="107"/>
      <c r="Q45" s="104"/>
      <c r="R45" s="105"/>
    </row>
    <row r="46" spans="2:18" x14ac:dyDescent="0.3">
      <c r="B46" t="s">
        <v>94</v>
      </c>
      <c r="C46" s="135" t="s">
        <v>110</v>
      </c>
      <c r="F46" t="s">
        <v>97</v>
      </c>
      <c r="G46" s="24" t="s">
        <v>111</v>
      </c>
      <c r="N46" s="106" t="s">
        <v>108</v>
      </c>
      <c r="O46" s="106"/>
      <c r="P46" s="107"/>
      <c r="Q46" s="102">
        <f>IF(MONTH(variables!D10)&gt;6," ",Q38+Q44)</f>
        <v>2581.2222499999998</v>
      </c>
      <c r="R46" s="103"/>
    </row>
    <row r="47" spans="2:18" x14ac:dyDescent="0.3">
      <c r="C47" s="135"/>
      <c r="N47" s="106"/>
      <c r="O47" s="106"/>
      <c r="P47" s="107"/>
      <c r="Q47" s="104"/>
      <c r="R47" s="105"/>
    </row>
    <row r="49" spans="2:18" x14ac:dyDescent="0.3">
      <c r="R49" s="9"/>
    </row>
    <row r="50" spans="2:18" x14ac:dyDescent="0.3">
      <c r="B50" s="86" t="s">
        <v>99</v>
      </c>
      <c r="C50" s="86"/>
      <c r="D50" s="134" t="s">
        <v>125</v>
      </c>
    </row>
    <row r="51" spans="2:18" x14ac:dyDescent="0.3">
      <c r="B51" s="125" t="s">
        <v>100</v>
      </c>
      <c r="C51" s="126"/>
      <c r="D51" s="125" t="s">
        <v>101</v>
      </c>
      <c r="E51" s="126"/>
      <c r="F51" s="125" t="s">
        <v>107</v>
      </c>
      <c r="G51" s="126"/>
      <c r="H51" s="125" t="s">
        <v>102</v>
      </c>
      <c r="I51" s="126"/>
      <c r="J51" s="125" t="s">
        <v>103</v>
      </c>
      <c r="K51" s="122"/>
      <c r="L51" s="126"/>
      <c r="M51" s="125" t="s">
        <v>104</v>
      </c>
      <c r="N51" s="122"/>
      <c r="O51" s="122"/>
      <c r="P51" s="126"/>
      <c r="Q51" s="28"/>
      <c r="R51" s="29"/>
    </row>
    <row r="52" spans="2:18" x14ac:dyDescent="0.3">
      <c r="B52" s="82">
        <v>0</v>
      </c>
      <c r="C52" s="83"/>
      <c r="D52" s="82">
        <v>0</v>
      </c>
      <c r="E52" s="83"/>
      <c r="F52" s="82">
        <v>0</v>
      </c>
      <c r="G52" s="83"/>
      <c r="H52" s="82">
        <v>0</v>
      </c>
      <c r="I52" s="83"/>
      <c r="J52" s="82">
        <v>0</v>
      </c>
      <c r="K52" s="94"/>
      <c r="L52" s="83"/>
      <c r="M52" s="82">
        <v>0</v>
      </c>
      <c r="N52" s="94"/>
      <c r="O52" s="94"/>
      <c r="P52" s="83"/>
      <c r="Q52" s="30"/>
      <c r="R52" s="31"/>
    </row>
    <row r="53" spans="2:18" x14ac:dyDescent="0.3">
      <c r="B53" s="125" t="s">
        <v>77</v>
      </c>
      <c r="C53" s="126"/>
      <c r="D53" s="125" t="s">
        <v>80</v>
      </c>
      <c r="E53" s="126"/>
      <c r="F53" s="125" t="s">
        <v>105</v>
      </c>
      <c r="G53" s="126"/>
      <c r="H53" s="125" t="s">
        <v>81</v>
      </c>
      <c r="I53" s="126"/>
      <c r="J53" s="125" t="s">
        <v>81</v>
      </c>
      <c r="K53" s="122"/>
      <c r="L53" s="126"/>
      <c r="M53" s="125" t="s">
        <v>106</v>
      </c>
      <c r="N53" s="122"/>
      <c r="O53" s="122"/>
      <c r="P53" s="126"/>
      <c r="Q53" s="125" t="s">
        <v>91</v>
      </c>
      <c r="R53" s="126"/>
    </row>
    <row r="54" spans="2:18" x14ac:dyDescent="0.3">
      <c r="B54" s="82">
        <v>0</v>
      </c>
      <c r="C54" s="83"/>
      <c r="D54" s="82">
        <v>0</v>
      </c>
      <c r="E54" s="83"/>
      <c r="F54" s="82">
        <v>0</v>
      </c>
      <c r="G54" s="83"/>
      <c r="H54" s="82">
        <v>0</v>
      </c>
      <c r="I54" s="83"/>
      <c r="J54" s="82">
        <v>0</v>
      </c>
      <c r="K54" s="94"/>
      <c r="L54" s="83"/>
      <c r="M54" s="82">
        <v>0</v>
      </c>
      <c r="N54" s="94"/>
      <c r="O54" s="94"/>
      <c r="P54" s="83"/>
      <c r="Q54" s="82">
        <v>0</v>
      </c>
      <c r="R54" s="83"/>
    </row>
    <row r="55" spans="2:18" x14ac:dyDescent="0.3">
      <c r="B55" s="125" t="s">
        <v>79</v>
      </c>
      <c r="C55" s="126"/>
      <c r="D55" s="125" t="s">
        <v>78</v>
      </c>
      <c r="E55" s="126"/>
      <c r="F55" s="125" t="s">
        <v>82</v>
      </c>
      <c r="G55" s="126"/>
      <c r="H55" s="125" t="s">
        <v>83</v>
      </c>
      <c r="I55" s="126"/>
      <c r="J55" s="125" t="s">
        <v>84</v>
      </c>
      <c r="K55" s="122"/>
      <c r="L55" s="126"/>
      <c r="M55" s="125" t="s">
        <v>85</v>
      </c>
      <c r="N55" s="122"/>
      <c r="O55" s="122"/>
      <c r="P55" s="126"/>
      <c r="Q55" s="125" t="s">
        <v>108</v>
      </c>
      <c r="R55" s="126"/>
    </row>
    <row r="56" spans="2:18" x14ac:dyDescent="0.3">
      <c r="B56" s="82">
        <v>0</v>
      </c>
      <c r="C56" s="83"/>
      <c r="D56" s="82">
        <v>0</v>
      </c>
      <c r="E56" s="83"/>
      <c r="F56" s="82">
        <v>0</v>
      </c>
      <c r="G56" s="83"/>
      <c r="H56" s="82">
        <v>0</v>
      </c>
      <c r="I56" s="83"/>
      <c r="J56" s="82">
        <v>0</v>
      </c>
      <c r="K56" s="94"/>
      <c r="L56" s="83"/>
      <c r="M56" s="82">
        <v>0</v>
      </c>
      <c r="N56" s="94"/>
      <c r="O56" s="94"/>
      <c r="P56" s="83"/>
      <c r="Q56" s="82">
        <v>0</v>
      </c>
      <c r="R56" s="83"/>
    </row>
    <row r="58" spans="2:18" x14ac:dyDescent="0.3">
      <c r="G58" s="27" t="s">
        <v>128</v>
      </c>
      <c r="H58" s="60" t="s">
        <v>127</v>
      </c>
    </row>
  </sheetData>
  <sheetProtection algorithmName="SHA-512" hashValue="WLyE3FTx2mQvhsy3Js9eARov3IJ5dFoYAXtRyC0InWbcMkTLdm8RqGN+xrd7rObBoKx9PRt1r/uaUzIYrZd0kA==" saltValue="2VURlMcdYTcvEg4I5E0WkA==" spinCount="100000" sheet="1" objects="1" scenarios="1"/>
  <mergeCells count="211">
    <mergeCell ref="M29:N29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J51:L51"/>
    <mergeCell ref="Q54:R54"/>
    <mergeCell ref="B52:C52"/>
    <mergeCell ref="B54:C54"/>
    <mergeCell ref="D53:E53"/>
    <mergeCell ref="D55:E55"/>
    <mergeCell ref="B55:C55"/>
    <mergeCell ref="B53:C53"/>
    <mergeCell ref="J53:L53"/>
    <mergeCell ref="J55:L55"/>
    <mergeCell ref="H53:I53"/>
    <mergeCell ref="H55:I55"/>
    <mergeCell ref="F53:G53"/>
    <mergeCell ref="F55:G55"/>
    <mergeCell ref="G21:H21"/>
    <mergeCell ref="G22:H22"/>
    <mergeCell ref="G23:H23"/>
    <mergeCell ref="G24:H24"/>
    <mergeCell ref="G25:H25"/>
    <mergeCell ref="G26:H26"/>
    <mergeCell ref="G27:H27"/>
    <mergeCell ref="L38:P38"/>
    <mergeCell ref="Q38:R38"/>
    <mergeCell ref="K32:L34"/>
    <mergeCell ref="K35:L35"/>
    <mergeCell ref="K36:L36"/>
    <mergeCell ref="K37:L37"/>
    <mergeCell ref="H32:J32"/>
    <mergeCell ref="H33:J33"/>
    <mergeCell ref="H34:J34"/>
    <mergeCell ref="Q33:R34"/>
    <mergeCell ref="Q36:R37"/>
    <mergeCell ref="M37:P37"/>
    <mergeCell ref="I26:J26"/>
    <mergeCell ref="I27:J27"/>
    <mergeCell ref="I28:J28"/>
    <mergeCell ref="I29:J29"/>
    <mergeCell ref="M28:N28"/>
    <mergeCell ref="I19:J19"/>
    <mergeCell ref="I20:J20"/>
    <mergeCell ref="Q26:R26"/>
    <mergeCell ref="Q27:R27"/>
    <mergeCell ref="Q28:R28"/>
    <mergeCell ref="F32:G32"/>
    <mergeCell ref="F36:G36"/>
    <mergeCell ref="H36:J36"/>
    <mergeCell ref="H35:J35"/>
    <mergeCell ref="M32:P34"/>
    <mergeCell ref="M35:P35"/>
    <mergeCell ref="Q29:R29"/>
    <mergeCell ref="Q21:R21"/>
    <mergeCell ref="Q22:R22"/>
    <mergeCell ref="Q23:R23"/>
    <mergeCell ref="Q24:R24"/>
    <mergeCell ref="Q25:R25"/>
    <mergeCell ref="Q30:R31"/>
    <mergeCell ref="M36:P36"/>
    <mergeCell ref="Q32:R32"/>
    <mergeCell ref="Q35:R35"/>
    <mergeCell ref="C26:F26"/>
    <mergeCell ref="G19:H19"/>
    <mergeCell ref="G20:H20"/>
    <mergeCell ref="M2:N2"/>
    <mergeCell ref="M3:N3"/>
    <mergeCell ref="M4:N4"/>
    <mergeCell ref="M5:N5"/>
    <mergeCell ref="O2:P2"/>
    <mergeCell ref="O3:P3"/>
    <mergeCell ref="O4:P4"/>
    <mergeCell ref="O5:P5"/>
    <mergeCell ref="L30:P31"/>
    <mergeCell ref="I15:L15"/>
    <mergeCell ref="M16:P16"/>
    <mergeCell ref="J17:L17"/>
    <mergeCell ref="J16:L16"/>
    <mergeCell ref="M17:P17"/>
    <mergeCell ref="P6:Q6"/>
    <mergeCell ref="M6:O6"/>
    <mergeCell ref="M7:O7"/>
    <mergeCell ref="P7:R7"/>
    <mergeCell ref="Q15:R15"/>
    <mergeCell ref="M15:P15"/>
    <mergeCell ref="I7:J7"/>
    <mergeCell ref="K7:L7"/>
    <mergeCell ref="Q19:R19"/>
    <mergeCell ref="Q20:R20"/>
    <mergeCell ref="Q39:R39"/>
    <mergeCell ref="Q40:R40"/>
    <mergeCell ref="Q41:R41"/>
    <mergeCell ref="Q42:R42"/>
    <mergeCell ref="Q43:R43"/>
    <mergeCell ref="I43:J43"/>
    <mergeCell ref="M39:N39"/>
    <mergeCell ref="K39:L39"/>
    <mergeCell ref="O39:P39"/>
    <mergeCell ref="O40:P40"/>
    <mergeCell ref="O41:P41"/>
    <mergeCell ref="O42:P42"/>
    <mergeCell ref="O43:P43"/>
    <mergeCell ref="M40:N40"/>
    <mergeCell ref="M41:N41"/>
    <mergeCell ref="M42:N42"/>
    <mergeCell ref="M43:N43"/>
    <mergeCell ref="K40:L40"/>
    <mergeCell ref="K41:L41"/>
    <mergeCell ref="I18:J18"/>
    <mergeCell ref="Q8:R8"/>
    <mergeCell ref="Q9:R9"/>
    <mergeCell ref="Q10:R10"/>
    <mergeCell ref="Q11:R11"/>
    <mergeCell ref="Q12:R12"/>
    <mergeCell ref="Q13:R13"/>
    <mergeCell ref="Q14:R14"/>
    <mergeCell ref="Q18:R18"/>
    <mergeCell ref="M18:N18"/>
    <mergeCell ref="Q16:R16"/>
    <mergeCell ref="Q17:R17"/>
    <mergeCell ref="K42:L42"/>
    <mergeCell ref="Q56:R56"/>
    <mergeCell ref="M52:P52"/>
    <mergeCell ref="M54:P54"/>
    <mergeCell ref="M56:P56"/>
    <mergeCell ref="D56:E56"/>
    <mergeCell ref="F56:G56"/>
    <mergeCell ref="H56:I56"/>
    <mergeCell ref="J56:L56"/>
    <mergeCell ref="J54:L54"/>
    <mergeCell ref="J52:L52"/>
    <mergeCell ref="H52:I52"/>
    <mergeCell ref="H54:I54"/>
    <mergeCell ref="Q44:R45"/>
    <mergeCell ref="Q46:R47"/>
    <mergeCell ref="N46:P47"/>
    <mergeCell ref="J44:P45"/>
    <mergeCell ref="K43:L43"/>
    <mergeCell ref="M51:P51"/>
    <mergeCell ref="Q53:R53"/>
    <mergeCell ref="Q55:R55"/>
    <mergeCell ref="M55:P55"/>
    <mergeCell ref="M53:P53"/>
    <mergeCell ref="D51:E51"/>
    <mergeCell ref="I39:J39"/>
    <mergeCell ref="I40:J40"/>
    <mergeCell ref="I41:J41"/>
    <mergeCell ref="I42:J42"/>
    <mergeCell ref="B50:C50"/>
    <mergeCell ref="D32:E32"/>
    <mergeCell ref="F33:G33"/>
    <mergeCell ref="F34:G34"/>
    <mergeCell ref="D33:E33"/>
    <mergeCell ref="D34:E34"/>
    <mergeCell ref="D36:E36"/>
    <mergeCell ref="F35:G35"/>
    <mergeCell ref="B32:B34"/>
    <mergeCell ref="B35:B37"/>
    <mergeCell ref="C43:F43"/>
    <mergeCell ref="G40:H40"/>
    <mergeCell ref="G41:H41"/>
    <mergeCell ref="G42:H42"/>
    <mergeCell ref="G43:H43"/>
    <mergeCell ref="C40:F40"/>
    <mergeCell ref="C41:F41"/>
    <mergeCell ref="C42:F42"/>
    <mergeCell ref="C27:F27"/>
    <mergeCell ref="C28:F28"/>
    <mergeCell ref="C29:F29"/>
    <mergeCell ref="B56:C56"/>
    <mergeCell ref="D52:E52"/>
    <mergeCell ref="D54:E54"/>
    <mergeCell ref="F52:G52"/>
    <mergeCell ref="F54:G54"/>
    <mergeCell ref="D35:E35"/>
    <mergeCell ref="G28:H28"/>
    <mergeCell ref="G29:H29"/>
    <mergeCell ref="B51:C51"/>
    <mergeCell ref="F51:G51"/>
    <mergeCell ref="H51:I51"/>
    <mergeCell ref="B1:D1"/>
    <mergeCell ref="C5:D5"/>
    <mergeCell ref="I3:J3"/>
    <mergeCell ref="I5:L5"/>
    <mergeCell ref="I4:L4"/>
    <mergeCell ref="G18:H18"/>
    <mergeCell ref="C39:F39"/>
    <mergeCell ref="G39:H39"/>
    <mergeCell ref="D37:E37"/>
    <mergeCell ref="F37:G37"/>
    <mergeCell ref="H37:J37"/>
    <mergeCell ref="I21:J21"/>
    <mergeCell ref="I22:J22"/>
    <mergeCell ref="I23:J23"/>
    <mergeCell ref="I24:J24"/>
    <mergeCell ref="I25:J25"/>
    <mergeCell ref="C18:F18"/>
    <mergeCell ref="C19:F19"/>
    <mergeCell ref="C20:F20"/>
    <mergeCell ref="C21:F21"/>
    <mergeCell ref="C22:F22"/>
    <mergeCell ref="C23:F23"/>
    <mergeCell ref="C24:F24"/>
    <mergeCell ref="C25:F25"/>
  </mergeCells>
  <hyperlinks>
    <hyperlink ref="H58" r:id="rId1" xr:uid="{D80B624A-253E-435E-8E46-15697A789C37}"/>
  </hyperlinks>
  <pageMargins left="0.7" right="0.7" top="0.75" bottom="0.75" header="0.3" footer="0.3"/>
  <pageSetup paperSize="9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C34E-4CA1-4DBB-8464-DC5632DE1AAB}">
  <dimension ref="A1:C21"/>
  <sheetViews>
    <sheetView workbookViewId="0">
      <selection activeCell="C4" sqref="C4"/>
    </sheetView>
  </sheetViews>
  <sheetFormatPr defaultColWidth="9.109375" defaultRowHeight="14.4" x14ac:dyDescent="0.3"/>
  <cols>
    <col min="1" max="1" width="38.109375" style="12" bestFit="1" customWidth="1"/>
    <col min="2" max="2" width="15.88671875" style="12" bestFit="1" customWidth="1"/>
    <col min="3" max="3" width="19" style="12" customWidth="1"/>
    <col min="4" max="16384" width="9.109375" style="12"/>
  </cols>
  <sheetData>
    <row r="1" spans="1:3" x14ac:dyDescent="0.3">
      <c r="C1" s="12" t="s">
        <v>2</v>
      </c>
    </row>
    <row r="2" spans="1:3" x14ac:dyDescent="0.3">
      <c r="A2" s="12" t="s">
        <v>1</v>
      </c>
      <c r="B2" s="12">
        <f>DAY(EOMONTH(variables!D9,0))</f>
        <v>31</v>
      </c>
      <c r="C2" s="13">
        <f>variables!$D$12/math!B2</f>
        <v>70.967741935483872</v>
      </c>
    </row>
    <row r="3" spans="1:3" x14ac:dyDescent="0.3">
      <c r="A3" s="12" t="s">
        <v>0</v>
      </c>
      <c r="B3" s="12">
        <f>DAY(EOMONTH(variables!D10,0))</f>
        <v>30</v>
      </c>
      <c r="C3" s="13">
        <f>variables!$D$12/math!B3</f>
        <v>73.333333333333329</v>
      </c>
    </row>
    <row r="6" spans="1:3" x14ac:dyDescent="0.3">
      <c r="A6" s="12" t="s">
        <v>3</v>
      </c>
    </row>
    <row r="7" spans="1:3" x14ac:dyDescent="0.3">
      <c r="A7" s="12" t="s">
        <v>4</v>
      </c>
    </row>
    <row r="10" spans="1:3" x14ac:dyDescent="0.3">
      <c r="A10" s="12" t="s">
        <v>14</v>
      </c>
      <c r="B10" s="14">
        <f>EOMONTH(variables!D9,0)</f>
        <v>43616</v>
      </c>
    </row>
    <row r="11" spans="1:3" x14ac:dyDescent="0.3">
      <c r="A11" s="12" t="s">
        <v>13</v>
      </c>
      <c r="B11" s="14">
        <f>EOMONTH(variables!D10,0)</f>
        <v>43646</v>
      </c>
    </row>
    <row r="12" spans="1:3" x14ac:dyDescent="0.3">
      <c r="A12" s="12" t="s">
        <v>10</v>
      </c>
      <c r="B12" s="14">
        <f>variables!D10-DAY(variables!D10)+1</f>
        <v>43617</v>
      </c>
    </row>
    <row r="13" spans="1:3" x14ac:dyDescent="0.3">
      <c r="A13" s="12" t="s">
        <v>5</v>
      </c>
      <c r="B13" s="15">
        <f>B10-variables!D9</f>
        <v>30</v>
      </c>
    </row>
    <row r="14" spans="1:3" x14ac:dyDescent="0.3">
      <c r="A14" s="12" t="s">
        <v>6</v>
      </c>
      <c r="B14" s="13">
        <f>DAY(variables!D10)</f>
        <v>30</v>
      </c>
    </row>
    <row r="15" spans="1:3" x14ac:dyDescent="0.3">
      <c r="A15" s="12" t="s">
        <v>7</v>
      </c>
      <c r="B15" s="15">
        <f>B13+B14</f>
        <v>60</v>
      </c>
    </row>
    <row r="19" spans="1:2" x14ac:dyDescent="0.3">
      <c r="A19" s="12" t="s">
        <v>8</v>
      </c>
      <c r="B19" s="12">
        <f>NETWORKDAYS(variables!D9,B10)</f>
        <v>23</v>
      </c>
    </row>
    <row r="20" spans="1:2" x14ac:dyDescent="0.3">
      <c r="A20" s="12" t="s">
        <v>9</v>
      </c>
      <c r="B20" s="15">
        <f>NETWORKDAYS(B12,variables!D10)</f>
        <v>20</v>
      </c>
    </row>
    <row r="21" spans="1:2" x14ac:dyDescent="0.3">
      <c r="A21" s="12" t="s">
        <v>11</v>
      </c>
      <c r="B21" s="12">
        <f>SUM(B19:B20)</f>
        <v>43</v>
      </c>
    </row>
  </sheetData>
  <sheetProtection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variables</vt:lpstr>
      <vt:lpstr>distribution</vt:lpstr>
      <vt:lpstr>payslip</vt:lpstr>
      <vt:lpstr>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Silviu E. Sandulache</dc:creator>
  <cp:lastModifiedBy>Silviu E. Sandulache</cp:lastModifiedBy>
  <dcterms:created xsi:type="dcterms:W3CDTF">2019-03-29T06:37:00Z</dcterms:created>
  <dcterms:modified xsi:type="dcterms:W3CDTF">2019-07-01T13:50:20Z</dcterms:modified>
</cp:coreProperties>
</file>